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tabRatio="697" activeTab="0"/>
  </bookViews>
  <sheets>
    <sheet name="Калькулятор ИмЮр" sheetId="1" r:id="rId1"/>
  </sheets>
  <definedNames>
    <definedName name="_xlnm.Print_Area" localSheetId="0">'Калькулятор ИмЮр'!$A$1:$I$89</definedName>
  </definedNames>
  <calcPr fullCalcOnLoad="1"/>
</workbook>
</file>

<file path=xl/sharedStrings.xml><?xml version="1.0" encoding="utf-8"?>
<sst xmlns="http://schemas.openxmlformats.org/spreadsheetml/2006/main" count="1143" uniqueCount="252">
  <si>
    <t>окона первого и цокольного этажей</t>
  </si>
  <si>
    <t>окона второго и последующих этажей</t>
  </si>
  <si>
    <t>торговые (выставочные) витрины внутри помещений и стеклянные перегородки</t>
  </si>
  <si>
    <t>Бой стекол</t>
  </si>
  <si>
    <t>по страховой сумме</t>
  </si>
  <si>
    <t>1-2999999</t>
  </si>
  <si>
    <t>средняя пожарная опасность</t>
  </si>
  <si>
    <t>низкая пожарная опасность</t>
  </si>
  <si>
    <t>высокая степень риска</t>
  </si>
  <si>
    <t>высокая степень 
риска</t>
  </si>
  <si>
    <t>объекты (предметы) страхования</t>
  </si>
  <si>
    <t>негорючие изделия в негорючей упаковке или без упаковки</t>
  </si>
  <si>
    <t xml:space="preserve">негорючие изделия в горючей упаковке </t>
  </si>
  <si>
    <t>горючие изделия без упаковки или в горючей упаковке</t>
  </si>
  <si>
    <t>Базовые тарифы по основному пакету рисков*, для строений: стены- кирпич/ бетон, перекрытия- ж/бетон или полностью металические без горючего утеплителя (пенопласта, пенополистирола и т.п.)</t>
  </si>
  <si>
    <t>Базовые тарифы по основному пакету рисков*, для строений: стены- кирпич/ бетон, перекрытия- сгораемые</t>
  </si>
  <si>
    <t>Базовые тарифы по основному пакету рисков*, для строений: металлические строения без горючего утеплителя (пенопласта, пенополистирола и т.п.)</t>
  </si>
  <si>
    <r>
      <t xml:space="preserve">назначение и фактическое использование здания, в котором находится подлежащее страхованию имущество
</t>
    </r>
    <r>
      <rPr>
        <b/>
        <sz val="11"/>
        <rFont val="Arial Cyr"/>
        <family val="0"/>
      </rPr>
      <t xml:space="preserve">Важно! </t>
    </r>
    <r>
      <rPr>
        <sz val="11"/>
        <rFont val="Arial Cyr"/>
        <family val="0"/>
      </rPr>
      <t>Если здание используется в нескольких целях, то для каждого объекта (предмета) страхования выбирается тот хараркетр использования, которому соответствует наибольший тариф</t>
    </r>
  </si>
  <si>
    <r>
      <t xml:space="preserve">Назначение и фактическое использование здания, в котором находится подлежащее страхованию имущество
</t>
    </r>
    <r>
      <rPr>
        <b/>
        <sz val="11"/>
        <rFont val="Arial Cyr"/>
        <family val="0"/>
      </rPr>
      <t>Важно!</t>
    </r>
    <r>
      <rPr>
        <sz val="11"/>
        <rFont val="Arial Cyr"/>
        <family val="0"/>
      </rPr>
      <t xml:space="preserve"> Если здание используется в нескольких целях, то для каждого объекта (предмета) страхования выбирается тот хараркетр использования, которому соответствует наибольший тариф</t>
    </r>
  </si>
  <si>
    <t>негорюч. изделия в негорюч. упаковке/ без упаковки</t>
  </si>
  <si>
    <t>"Пожар, удар молнии, взрыв"</t>
  </si>
  <si>
    <t>"Стихийные бедствия"</t>
  </si>
  <si>
    <t>"Повреждение водой"</t>
  </si>
  <si>
    <t>"Постороннее воздействие"</t>
  </si>
  <si>
    <t>"Бой стекла"</t>
  </si>
  <si>
    <t>"Хищение"</t>
  </si>
  <si>
    <t>"Повреждение третьими лицами"</t>
  </si>
  <si>
    <t>"Терроризм”</t>
  </si>
  <si>
    <t>№</t>
  </si>
  <si>
    <t>1. Здания (строения, пом.), исключая внутр. отд. и инж. оборудование</t>
  </si>
  <si>
    <t>2. Здания (строения, пом.), включая внутр. отд. и инж. оборудование</t>
  </si>
  <si>
    <t>3. Внутр. отд. и инж. оборуд. (если страхуется отдельно)</t>
  </si>
  <si>
    <t>4. Рекламные вывески, информационные указатели</t>
  </si>
  <si>
    <t>5. Окна (в т.ч. оконные витрины)</t>
  </si>
  <si>
    <t>6. Земельные участки</t>
  </si>
  <si>
    <t>1. Оборуд. производств., торг., технологич. и вспомогат.</t>
  </si>
  <si>
    <t>2. Электронная, аудио-, видео- и оргтехника, компьютеры</t>
  </si>
  <si>
    <t>3. Мебель</t>
  </si>
  <si>
    <t>4. Инструменты, производств. и хозяйств., инвентарь</t>
  </si>
  <si>
    <t>5. Торговые (выставочные) витрины внутри помещений, стеклянные перегородки</t>
  </si>
  <si>
    <r>
      <t>1. Ценные и высоколиквидные товары:</t>
    </r>
    <r>
      <rPr>
        <sz val="8"/>
        <rFont val="Arial CYR"/>
        <family val="0"/>
      </rPr>
      <t xml:space="preserve"> аудио-,  видео-, радио-, теле-, фото-, электрон. аппаратура, компьютеры, оргтехника, часы, быт. электротов., компакт-диски и иные носит. информации, инструменты, сантехника, парфюмерия, косметика, прод. питания, алкогол. напитки,  
автомобили и др. транспорт. средства на складе,  запчасти для транспортных средств</t>
    </r>
  </si>
  <si>
    <r>
      <t>2. прочие товары</t>
    </r>
    <r>
      <rPr>
        <sz val="8"/>
        <rFont val="Arial CYR"/>
        <family val="0"/>
      </rPr>
      <t xml:space="preserve"> (не указ. в др. группах)</t>
    </r>
  </si>
  <si>
    <r>
      <t xml:space="preserve">3. Особо: </t>
    </r>
    <r>
      <rPr>
        <sz val="8"/>
        <rFont val="Arial CYR"/>
        <family val="0"/>
      </rPr>
      <t>моб. телефоны и сопутств. товары, ювилир. изделия, антиквариат и другие произвед. искусства, мех. изделия, оружие. Любое бывшее в употребл. Иму-во (ломбарды, комисионные магазины  и т .п.)</t>
    </r>
  </si>
  <si>
    <t>1. машин и оборудования, металлобработка, приборостроение (кроме судостроительных верфей)</t>
  </si>
  <si>
    <t>2. цемент, мел, известь, гипс, фарфор, керамика</t>
  </si>
  <si>
    <t>3. продукты питания (кроме масел и жиров)</t>
  </si>
  <si>
    <t>4. лекарств</t>
  </si>
  <si>
    <t>5. строительных материалов (кроме древесн. и указ. в др. разделах)</t>
  </si>
  <si>
    <t>6. одежда, ткани, кожа, обувь</t>
  </si>
  <si>
    <t>7. электроэнергия, тепло (ТЭЦ, котел. и т.п.)</t>
  </si>
  <si>
    <t>8. выплавка металлов, выдув стекла</t>
  </si>
  <si>
    <t>9. пожаро- и взрывопасных газов, легковоспламеняющихся жидкостей, любых видов топлива, химических и нефтехим-х продуктов (в т.ч. лаков, красок, пластиков, пенопластов, удобрений, резины, битумов, асфальта, взрывчатых веществ и т.п.)</t>
  </si>
  <si>
    <t xml:space="preserve">10. продуктов лесозаготовки, деревообработки и целюлозо-бумажной продукции (в т.ч. мебель, бумага, древесно-стружечные плиты и т.п.) </t>
  </si>
  <si>
    <t>1. камни, металлические изделия без упаковки, некоторые виды промышл. оборудования и т.п.</t>
  </si>
  <si>
    <t>2. напитки в пластиковых упаковках, цемент или гипс в мешках, кафельная плитка в коробках и т.п.</t>
  </si>
  <si>
    <t>3. бумажные товары, деревянная мебель, ткани, одежда, электротехнические изделия, компьютеры, удобрения, косметика, лекарства, большинство продуктов питания, строительных товаров и т.п.</t>
  </si>
  <si>
    <t>4. аэрозоли, нефть и нефтепродукты, пожаро и взрывоопасные газы, ЛВЖ, лаки и краски на основе растворителей, пенополистиролы и пеноплас- ты, пиротехника, взрывчатые вещества, любые виды топлива</t>
  </si>
  <si>
    <t>1. административно-офисные здания и помещения (бизнес-центры, банки, юридич. услуги и т.п.)</t>
  </si>
  <si>
    <t>2. жилые здания</t>
  </si>
  <si>
    <t>3. предприятия общественного питания, не работающие в ночное время</t>
  </si>
  <si>
    <t>4. предприятия сферы образования и здравоохранения, ветеринарные клиники</t>
  </si>
  <si>
    <t>5. салоны красоты</t>
  </si>
  <si>
    <t>6. фитнес-центры</t>
  </si>
  <si>
    <t>7. гостинницы или другие места временного проживания людей;</t>
  </si>
  <si>
    <t>8. предприятия сферы культуры и искусства</t>
  </si>
  <si>
    <t>9. предприятия общественного питания, работающие в ночное время; дискотеки, ночные клубы, залы игровых автоматов, казино.</t>
  </si>
  <si>
    <t>10. прачечные, химчистки, услуги населению по ремонту бытовых изделий или одежды/ обуви, фотоуслуги</t>
  </si>
  <si>
    <t>11. атракционы; бани/ сауны, банкоматы, платежные терминалы, игровые автоматы; стадионы</t>
  </si>
  <si>
    <t>1. Объекты недвижимости</t>
  </si>
  <si>
    <t>2. Оборудование, инвентарь, мебель</t>
  </si>
  <si>
    <t>3. Товарные запасы</t>
  </si>
  <si>
    <t>андеррайтер</t>
  </si>
  <si>
    <t>---</t>
  </si>
  <si>
    <t>1. Производство</t>
  </si>
  <si>
    <t>2. Склады, оптовая и розничная торговля</t>
  </si>
  <si>
    <t>3. Сфера услуг, прочее</t>
  </si>
  <si>
    <t>1. Стены- кирпич/ бетон, перекрытия- ж/бетон или полностью металические без горючего утеплителя (пенопласта, пенополистирола и т.п.)</t>
  </si>
  <si>
    <t>2. Стены- кирпич/ бетон, перекрытия- сгораемые</t>
  </si>
  <si>
    <t>3. Металлические строения без горючего утеплителя (пенопласта, пенополистирола и т.п.)</t>
  </si>
  <si>
    <t>х</t>
  </si>
  <si>
    <t>Тип объекта</t>
  </si>
  <si>
    <t>Базовый тариф по риску «терроризм»</t>
  </si>
  <si>
    <t>Здания, в которых расположены жилые помещения, офисные помещения, предприятия розничной торговли, сферы услуг (в т.ч. образовательных, здравоохранения  и т.п.), объекты транспортной инфраструктуры или социально значимые объекты (водоподготовка, электростанции и т.п.)</t>
  </si>
  <si>
    <t>Прочие объекты</t>
  </si>
  <si>
    <r>
      <t xml:space="preserve"> Франшиза,  </t>
    </r>
    <r>
      <rPr>
        <sz val="10"/>
        <rFont val="Arial"/>
        <family val="2"/>
      </rPr>
      <t>руб.</t>
    </r>
  </si>
  <si>
    <r>
      <t>Страховая сумма</t>
    </r>
    <r>
      <rPr>
        <sz val="10"/>
        <rFont val="Arial"/>
        <family val="2"/>
      </rPr>
      <t>, руб.</t>
    </r>
  </si>
  <si>
    <t>1,25</t>
  </si>
  <si>
    <t>1,1</t>
  </si>
  <si>
    <t>1,125</t>
  </si>
  <si>
    <t>1,15</t>
  </si>
  <si>
    <t>1,2</t>
  </si>
  <si>
    <t>1,00</t>
  </si>
  <si>
    <t>1,08</t>
  </si>
  <si>
    <t>1,12</t>
  </si>
  <si>
    <t>1,13</t>
  </si>
  <si>
    <t>0,93</t>
  </si>
  <si>
    <t>0,94</t>
  </si>
  <si>
    <t>1,05</t>
  </si>
  <si>
    <t>1,07</t>
  </si>
  <si>
    <t>0,86</t>
  </si>
  <si>
    <t>0,88</t>
  </si>
  <si>
    <t>0,92</t>
  </si>
  <si>
    <t>0,80</t>
  </si>
  <si>
    <t>0,83</t>
  </si>
  <si>
    <t>0,75</t>
  </si>
  <si>
    <t>0,77</t>
  </si>
  <si>
    <t>0,81</t>
  </si>
  <si>
    <t>0,7</t>
  </si>
  <si>
    <t>0,72</t>
  </si>
  <si>
    <t>0,79</t>
  </si>
  <si>
    <t>0,8</t>
  </si>
  <si>
    <t>0,82</t>
  </si>
  <si>
    <t>0,65</t>
  </si>
  <si>
    <t>0,68</t>
  </si>
  <si>
    <t>0,70</t>
  </si>
  <si>
    <t>0,73</t>
  </si>
  <si>
    <t>0,6</t>
  </si>
  <si>
    <t>0,57</t>
  </si>
  <si>
    <t>0,62</t>
  </si>
  <si>
    <t>0,63</t>
  </si>
  <si>
    <t xml:space="preserve">Страховая сумма, </t>
  </si>
  <si>
    <t>руб.</t>
  </si>
  <si>
    <t>Коэффициент</t>
  </si>
  <si>
    <t>3 000 000 – 7 499 999</t>
  </si>
  <si>
    <t>7 500 000 – 14 999 999</t>
  </si>
  <si>
    <t>1</t>
  </si>
  <si>
    <t>15 000 000-  29 999 999</t>
  </si>
  <si>
    <t>0,95</t>
  </si>
  <si>
    <t>30 000 000- 59 999 999</t>
  </si>
  <si>
    <t>0,9</t>
  </si>
  <si>
    <t>60 000 000 – 149 999 999</t>
  </si>
  <si>
    <t>150 000 000 – 299 999 999</t>
  </si>
  <si>
    <t>300 000 000 – 599 999 999</t>
  </si>
  <si>
    <t>0,78</t>
  </si>
  <si>
    <t>&gt; = 600 000 000</t>
  </si>
  <si>
    <t>Отношение страховой суммы к страховой стоимости</t>
  </si>
  <si>
    <t>Коэффициент недострахования</t>
  </si>
  <si>
    <t>&lt;20%</t>
  </si>
  <si>
    <t>2,1</t>
  </si>
  <si>
    <t>20%-39,99%</t>
  </si>
  <si>
    <t>1,81</t>
  </si>
  <si>
    <t>40%-59,99%</t>
  </si>
  <si>
    <t>1,54</t>
  </si>
  <si>
    <t>60%-79,99%</t>
  </si>
  <si>
    <t>80%-100%</t>
  </si>
  <si>
    <r>
      <t xml:space="preserve">Срок страхования, </t>
    </r>
    <r>
      <rPr>
        <i/>
        <sz val="10"/>
        <color indexed="63"/>
        <rFont val="Arial"/>
        <family val="2"/>
      </rPr>
      <t xml:space="preserve">месяцев 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</si>
  <si>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</si>
  <si>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</si>
  <si>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</si>
  <si>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</si>
  <si>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</si>
  <si>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</si>
  <si>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</si>
  <si>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</si>
  <si>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</si>
  <si>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</si>
  <si>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</si>
  <si>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Процент от годовой премии</t>
  </si>
  <si>
    <r>
      <t>Количество последовательных лет страхования в Компании без заявления претензий</t>
    </r>
    <r>
      <rPr>
        <i/>
        <sz val="10"/>
        <color indexed="63"/>
        <rFont val="Arial"/>
        <family val="2"/>
      </rPr>
      <t xml:space="preserve"> </t>
    </r>
  </si>
  <si>
    <t>6 и более</t>
  </si>
  <si>
    <t>0,85</t>
  </si>
  <si>
    <t>Срок страхования (в месяцах):</t>
  </si>
  <si>
    <t>отношение</t>
  </si>
  <si>
    <t>бой ст</t>
  </si>
  <si>
    <t>терор</t>
  </si>
  <si>
    <t>фран</t>
  </si>
  <si>
    <t>сс</t>
  </si>
  <si>
    <t>срок с</t>
  </si>
  <si>
    <t>безуб</t>
  </si>
  <si>
    <t>11. судов (кораблестроительные ферфи)</t>
  </si>
  <si>
    <t>Итоговая премия:</t>
  </si>
  <si>
    <t>Страховая премия (исключая риск "бой стекол"):</t>
  </si>
  <si>
    <t>Страховой тариф (%):</t>
  </si>
  <si>
    <t>Предварительная премия!</t>
  </si>
  <si>
    <t>12. Иное производство</t>
  </si>
  <si>
    <t>1. Машин и оборудования, металлобработка, приборостроение (кроме судостроительных верфей)</t>
  </si>
  <si>
    <t>2. Цемент, мел, известь, гипс, фарфор, керамика</t>
  </si>
  <si>
    <t>3. Продукты питания (кроме масел и жиров)</t>
  </si>
  <si>
    <t>5. Строительных материалов (кроме древесн. и указ. в др. разделах)</t>
  </si>
  <si>
    <t>6. Одежда, ткани, кожа, обувь</t>
  </si>
  <si>
    <t>7. Электроэнергия, тепло (ТЭЦ, котел. и т.п.)</t>
  </si>
  <si>
    <t>8. Выплавка металлов, выдув стекла</t>
  </si>
  <si>
    <t>9. Пожаро- и взрывопасных газов, легковоспламеняющихся жидкостей, любых видов топлива, химических и нефтехим-х продуктов (в т.ч. лаков, красок, пластиков, пенопластов, удобрений, резины, битумов, асфальта, взрывчатых веществ и т.п.)</t>
  </si>
  <si>
    <t xml:space="preserve">10. Продуктов лесозаготовки, деревообработки и целюлозо-бумажной продукции (в т.ч. мебель, бумага, древесно-стружечные плиты и т.п.) </t>
  </si>
  <si>
    <t>11. Судов (кораблестроительные ферфи)</t>
  </si>
  <si>
    <t>5. Иное</t>
  </si>
  <si>
    <t>1. Административно-офисные здания и помещения (бизнес-центры, банки, юридич. услуги и т.п.)</t>
  </si>
  <si>
    <t>2. Жилые здания</t>
  </si>
  <si>
    <t>3. Предприятия общественного питания, не работающие в ночное время</t>
  </si>
  <si>
    <t>4. Предприятия сферы образования и здравоохранения, ветеринарные клиники</t>
  </si>
  <si>
    <t>5. Салоны красоты</t>
  </si>
  <si>
    <t>6. Фитнес-центры</t>
  </si>
  <si>
    <t>8. Предприятия сферы культуры и искусства</t>
  </si>
  <si>
    <t>10. Прачечные, химчистки, услуги населению по ремонту бытовых изделий или одежды/ обуви, фотоуслуги</t>
  </si>
  <si>
    <t>11. Атракционы; бани/ сауны, банкоматы, платежные терминалы, игровые автоматы; стадионы</t>
  </si>
  <si>
    <t>7. Гостинницы или другие места временного проживания людей</t>
  </si>
  <si>
    <t>9. Предприятия общественного питания, работающие в ночное время; дискотеки, ночные клубы, залы игровых автоматов, казино</t>
  </si>
  <si>
    <t>4. Лекарств</t>
  </si>
  <si>
    <t>12. Иное</t>
  </si>
  <si>
    <t>12. иное</t>
  </si>
  <si>
    <t>5 Иное</t>
  </si>
  <si>
    <t>базовый</t>
  </si>
  <si>
    <t>недо</t>
  </si>
  <si>
    <t>соотн</t>
  </si>
  <si>
    <t>Страховая сумма итого:</t>
  </si>
  <si>
    <t>баз+терр</t>
  </si>
  <si>
    <t>премия</t>
  </si>
  <si>
    <t>не-фр-сс-срок-без</t>
  </si>
  <si>
    <t>Тариф, %</t>
  </si>
  <si>
    <t>Страховая премия</t>
  </si>
  <si>
    <t>доля1</t>
  </si>
  <si>
    <t>доля2</t>
  </si>
  <si>
    <t>тариф</t>
  </si>
  <si>
    <t>Страховая премия итого:</t>
  </si>
  <si>
    <t>Шаг 1. Укажите страховые суммы по объектам, которые нужно застраховать. При страховании каких-либо объектов не на полную стоимость- укажите стоимость таких объектов.</t>
  </si>
  <si>
    <t>1. Риск "бой стекла" (для окон, витрин и стеклянных перегородок)</t>
  </si>
  <si>
    <t>2. Риск "терроризм"</t>
  </si>
  <si>
    <r>
      <t>1. Ценные и высоколиквидные товары:</t>
    </r>
    <r>
      <rPr>
        <sz val="10"/>
        <rFont val="Arial Cyr"/>
        <family val="0"/>
      </rPr>
      <t xml:space="preserve"> аудио-,  видео-, радио-, теле-, фото-, электрон. аппаратура, компьютеры, оргтехника, часы, быт. электротов., компакт-диски и иные носит. информации, инструменты, сантехника, парфюмерия, косметика, прод. питания, алкогол. напитки, автомобили и др. транспорт. средства на складе,  запчасти для транспортных средств</t>
    </r>
  </si>
  <si>
    <r>
      <t>2. Прочие товары</t>
    </r>
    <r>
      <rPr>
        <sz val="10"/>
        <rFont val="Arial Cyr"/>
        <family val="0"/>
      </rPr>
      <t xml:space="preserve"> (не указ. в др. группах)</t>
    </r>
  </si>
  <si>
    <r>
      <t xml:space="preserve">3. Особо: </t>
    </r>
    <r>
      <rPr>
        <sz val="10"/>
        <rFont val="Arial Cyr"/>
        <family val="0"/>
      </rPr>
      <t>моб. телефоны и сопутств. товары, ювилир. изделия, антиквариат и другие произвед. искусства, мех. изделия, оружие. Любое бывшее в употребл. иму-во (ломбарды, комисионные магазины  и т .п.)</t>
    </r>
  </si>
  <si>
    <t>сумма по бою стекол</t>
  </si>
  <si>
    <t>Примерная доля окон на первом этаже в общей страховой сумме по окнам:</t>
  </si>
  <si>
    <t>тарифы по бс</t>
  </si>
  <si>
    <t>окна</t>
  </si>
  <si>
    <t>витрины</t>
  </si>
  <si>
    <t>тарифы по террор</t>
  </si>
  <si>
    <t>здан</t>
  </si>
  <si>
    <t>прочее</t>
  </si>
  <si>
    <t>Шаг 3. Укажите особенности конструкции строения, в котором находится подлежащее страхованию имущество.</t>
  </si>
  <si>
    <t>Шаг 4. При необходимости страхования имущества по дополнительным рискам, укажите следующее:</t>
  </si>
  <si>
    <t>Шаг 2. Укажите назначение и характер фактического использования здания, в котором находится подлежащее страхованию имущество.</t>
  </si>
  <si>
    <t>Шаг 5. Укажите дополнительные сведения:</t>
  </si>
  <si>
    <t>суммы</t>
  </si>
  <si>
    <t>1. Негорюч. изделия в негорюч. упаковке/ без упаковки (Камни, металлические изделия без упаковки, некоторые виды промышл. оборудования и т.п.)</t>
  </si>
  <si>
    <t>2. Негорючие изделия в горючей упаковке  (Напитки в пластиковых упаковках, цемент или гипс в мешках, кафельная плитка в коробках и т.п.)</t>
  </si>
  <si>
    <t>3. Горючие изделия без упаковки или в горючей упаковке (Бумажные товары, деревянная мебель, ткани, одежда, электротехнические изделия, компьютеры, удобрения, косметика, лекарства, большинство продуктов питания, строительных товаров и т.п.)</t>
  </si>
  <si>
    <t>4. Высокая степень риска (Аэрозоли, нефть и нефтепродукты, пожаро и взрывоопасные газы, ЛВЖ, лаки и краски на основе растворителей, пенополистиролы и пеноплас- ты, пиротехника, взрывчатые вещества, любые виды топлива)</t>
  </si>
  <si>
    <t>Итого:</t>
  </si>
  <si>
    <t>Безубыточное страхование (лет): (в отношении конкретных объектов имущества, при возобновлении договора страхования СК ГАЙДЕ, по которому не было заявлено претензий о страховых случаях)</t>
  </si>
  <si>
    <t>Предварительный результат</t>
  </si>
  <si>
    <t>Страховая
сумма</t>
  </si>
  <si>
    <t>Страховая
стоимость</t>
  </si>
  <si>
    <t>4. Иное</t>
  </si>
  <si>
    <t>ошибки</t>
  </si>
  <si>
    <t>свод</t>
  </si>
  <si>
    <t xml:space="preserve">Калькулятор не может посчитать тариф по причине:
</t>
  </si>
  <si>
    <t>Внимание! Тарифы, рассчитанные с помощью настоящего калькулятора являются предварительными (или ориентировочными). Они могут быть скорректированы как в большую, так и в меньшую стороны лицом, обладающим необходимыми андеррайтинговыми полномочиями, при определении окончательных тарифов.</t>
  </si>
  <si>
    <t>ош</t>
  </si>
  <si>
    <t>Страховая
сумма, руб.</t>
  </si>
  <si>
    <t>Страховая
стоимость, руб.</t>
  </si>
  <si>
    <t>Безусловная франшиза (кроме риска "бой стекла"), руб.:</t>
  </si>
  <si>
    <t>Электронный калькулятор для расчёта предварительной страховой премии по страхованию 
имущества юридических лиц от огня и других опасностей.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</si>
</sst>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&quot;р.&quot;"/>
    <numFmt numFmtId="170" formatCode="0.000%"/>
    <numFmt numFmtId="171" formatCode="0.00000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000000"/>
    <numFmt numFmtId="177" formatCode="\ "/>
    <numFmt numFmtId="178" formatCode="0.0000"/>
    <numFmt numFmtId="179" formatCode="0.000000"/>
    <numFmt numFmtId="180" formatCode="0.0"/>
    <numFmt numFmtId="181" formatCode="#,##0_р_."/>
    <numFmt numFmtId="182" formatCode="0.0%"/>
    <numFmt numFmtId="183" formatCode="0.0000000"/>
    <numFmt numFmtId="184" formatCode="_-* #,##0.0_р_._-;\-* #,##0.0_р_._-;_-* &quot;-&quot;??_р_._-;_-@_-"/>
    <numFmt numFmtId="185" formatCode="_-* #,##0_р_._-;\-* #,##0_р_._-;_-* &quot;-&quot;??_р_._-;_-@_-"/>
    <numFmt numFmtId="186" formatCode="[&lt;=9999999]###\-####;\(###\)\ ###\-####"/>
    <numFmt numFmtId="187" formatCode="#,##0.00_р_."/>
    <numFmt numFmtId="188" formatCode="#,##0.0_р_."/>
    <numFmt numFmtId="189" formatCode="0.0000000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#,##0.000_р_."/>
  </numFmts>
  <fonts count="7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.5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0"/>
      <name val="Arial Cyr"/>
      <family val="0"/>
    </font>
    <font>
      <sz val="6"/>
      <name val="Arial Cyr"/>
      <family val="0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9"/>
      <name val="Arial Cyr"/>
      <family val="0"/>
    </font>
    <font>
      <b/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9"/>
      <name val="Arial Cyr"/>
      <family val="0"/>
    </font>
    <font>
      <b/>
      <sz val="12"/>
      <color indexed="63"/>
      <name val="Arial"/>
      <family val="2"/>
    </font>
    <font>
      <sz val="10"/>
      <color indexed="8"/>
      <name val="Calibri"/>
      <family val="2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53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1"/>
      <color indexed="62"/>
      <name val="Calibri"/>
      <family val="2"/>
    </font>
    <font>
      <b/>
      <sz val="12"/>
      <color indexed="9"/>
      <name val="Arial Cyr"/>
      <family val="0"/>
    </font>
    <font>
      <sz val="10"/>
      <color indexed="9"/>
      <name val="Arial Cyr"/>
      <family val="0"/>
    </font>
    <font>
      <b/>
      <sz val="18"/>
      <name val="Calibri"/>
      <family val="2"/>
    </font>
    <font>
      <sz val="10"/>
      <color indexed="50"/>
      <name val="Arial Cyr"/>
      <family val="0"/>
    </font>
    <font>
      <u val="single"/>
      <sz val="20"/>
      <color indexed="50"/>
      <name val="Arial Cyr"/>
      <family val="0"/>
    </font>
    <font>
      <b/>
      <sz val="14"/>
      <color indexed="10"/>
      <name val="Arial Cyr"/>
      <family val="0"/>
    </font>
    <font>
      <sz val="9"/>
      <color indexed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1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11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>
        <color indexed="11"/>
      </left>
      <right style="thin"/>
      <top style="medium"/>
      <bottom style="thin"/>
    </border>
    <border>
      <left style="medium"/>
      <right style="thin"/>
      <top style="thin"/>
      <bottom style="medium">
        <color indexed="11"/>
      </bottom>
    </border>
    <border>
      <left style="thin"/>
      <right>
        <color indexed="63"/>
      </right>
      <top style="thin"/>
      <bottom style="medium"/>
    </border>
    <border>
      <left style="medium">
        <color indexed="11"/>
      </left>
      <right>
        <color indexed="63"/>
      </right>
      <top>
        <color indexed="63"/>
      </top>
      <bottom style="thin"/>
    </border>
    <border>
      <left style="medium">
        <color indexed="11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7" fillId="0" borderId="0" xfId="0" applyFont="1" applyBorder="1" applyAlignment="1" applyProtection="1">
      <alignment horizontal="right" vertical="top"/>
      <protection/>
    </xf>
    <xf numFmtId="0" fontId="32" fillId="33" borderId="10" xfId="0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wrapText="1"/>
      <protection/>
    </xf>
    <xf numFmtId="0" fontId="0" fillId="34" borderId="0" xfId="0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Fill="1" applyAlignment="1" applyProtection="1">
      <alignment wrapText="1"/>
      <protection/>
    </xf>
    <xf numFmtId="0" fontId="0" fillId="36" borderId="0" xfId="0" applyFill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1" fillId="0" borderId="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0" fillId="0" borderId="0" xfId="0" applyFont="1" applyAlignment="1" applyProtection="1">
      <alignment wrapText="1"/>
      <protection/>
    </xf>
    <xf numFmtId="0" fontId="0" fillId="37" borderId="12" xfId="0" applyFill="1" applyBorder="1" applyAlignment="1" applyProtection="1">
      <alignment wrapText="1"/>
      <protection/>
    </xf>
    <xf numFmtId="0" fontId="0" fillId="37" borderId="13" xfId="0" applyFill="1" applyBorder="1" applyAlignment="1" applyProtection="1">
      <alignment wrapText="1"/>
      <protection/>
    </xf>
    <xf numFmtId="0" fontId="0" fillId="37" borderId="14" xfId="0" applyFill="1" applyBorder="1" applyAlignment="1" applyProtection="1">
      <alignment wrapText="1"/>
      <protection/>
    </xf>
    <xf numFmtId="0" fontId="0" fillId="37" borderId="15" xfId="0" applyFill="1" applyBorder="1" applyAlignment="1" applyProtection="1">
      <alignment wrapText="1"/>
      <protection/>
    </xf>
    <xf numFmtId="0" fontId="1" fillId="35" borderId="16" xfId="0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horizontal="center" wrapText="1"/>
      <protection/>
    </xf>
    <xf numFmtId="0" fontId="0" fillId="35" borderId="16" xfId="0" applyFill="1" applyBorder="1" applyAlignment="1" applyProtection="1">
      <alignment wrapText="1"/>
      <protection/>
    </xf>
    <xf numFmtId="0" fontId="0" fillId="0" borderId="17" xfId="0" applyFill="1" applyBorder="1" applyAlignment="1" applyProtection="1">
      <alignment wrapText="1"/>
      <protection/>
    </xf>
    <xf numFmtId="0" fontId="0" fillId="38" borderId="12" xfId="0" applyFill="1" applyBorder="1" applyAlignment="1" applyProtection="1">
      <alignment wrapText="1"/>
      <protection/>
    </xf>
    <xf numFmtId="0" fontId="30" fillId="39" borderId="18" xfId="0" applyFont="1" applyFill="1" applyBorder="1" applyAlignment="1" applyProtection="1">
      <alignment wrapText="1"/>
      <protection/>
    </xf>
    <xf numFmtId="0" fontId="0" fillId="0" borderId="16" xfId="0" applyFill="1" applyBorder="1" applyAlignment="1" applyProtection="1">
      <alignment wrapText="1"/>
      <protection/>
    </xf>
    <xf numFmtId="0" fontId="37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0" fillId="40" borderId="20" xfId="0" applyFill="1" applyBorder="1" applyAlignment="1" applyProtection="1">
      <alignment wrapText="1"/>
      <protection/>
    </xf>
    <xf numFmtId="0" fontId="0" fillId="39" borderId="21" xfId="0" applyFill="1" applyBorder="1" applyAlignment="1" applyProtection="1">
      <alignment wrapText="1"/>
      <protection/>
    </xf>
    <xf numFmtId="0" fontId="0" fillId="36" borderId="22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1" xfId="0" applyFill="1" applyBorder="1" applyAlignment="1" applyProtection="1">
      <alignment wrapText="1"/>
      <protection/>
    </xf>
    <xf numFmtId="0" fontId="0" fillId="0" borderId="23" xfId="0" applyFill="1" applyBorder="1" applyAlignment="1" applyProtection="1">
      <alignment wrapText="1"/>
      <protection/>
    </xf>
    <xf numFmtId="168" fontId="0" fillId="35" borderId="24" xfId="0" applyNumberFormat="1" applyFill="1" applyBorder="1" applyAlignment="1" applyProtection="1">
      <alignment wrapText="1"/>
      <protection/>
    </xf>
    <xf numFmtId="0" fontId="0" fillId="0" borderId="25" xfId="0" applyFill="1" applyBorder="1" applyAlignment="1" applyProtection="1">
      <alignment wrapText="1"/>
      <protection/>
    </xf>
    <xf numFmtId="180" fontId="0" fillId="35" borderId="21" xfId="0" applyNumberFormat="1" applyFill="1" applyBorder="1" applyAlignment="1" applyProtection="1">
      <alignment wrapText="1"/>
      <protection/>
    </xf>
    <xf numFmtId="2" fontId="0" fillId="0" borderId="22" xfId="0" applyNumberFormat="1" applyFill="1" applyBorder="1" applyAlignment="1" applyProtection="1">
      <alignment wrapText="1"/>
      <protection/>
    </xf>
    <xf numFmtId="2" fontId="0" fillId="38" borderId="24" xfId="0" applyNumberFormat="1" applyFill="1" applyBorder="1" applyAlignment="1" applyProtection="1">
      <alignment wrapText="1"/>
      <protection/>
    </xf>
    <xf numFmtId="179" fontId="0" fillId="39" borderId="26" xfId="0" applyNumberFormat="1" applyFill="1" applyBorder="1" applyAlignment="1" applyProtection="1">
      <alignment wrapText="1"/>
      <protection/>
    </xf>
    <xf numFmtId="187" fontId="0" fillId="0" borderId="24" xfId="0" applyNumberFormat="1" applyFill="1" applyBorder="1" applyAlignment="1" applyProtection="1">
      <alignment wrapText="1"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28" xfId="0" applyFill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0" fillId="0" borderId="29" xfId="0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 quotePrefix="1">
      <alignment wrapText="1"/>
      <protection/>
    </xf>
    <xf numFmtId="0" fontId="0" fillId="0" borderId="30" xfId="0" applyFill="1" applyBorder="1" applyAlignment="1" applyProtection="1">
      <alignment wrapText="1"/>
      <protection/>
    </xf>
    <xf numFmtId="0" fontId="0" fillId="0" borderId="31" xfId="0" applyFill="1" applyBorder="1" applyAlignment="1" applyProtection="1">
      <alignment wrapText="1"/>
      <protection/>
    </xf>
    <xf numFmtId="0" fontId="0" fillId="0" borderId="32" xfId="0" applyFill="1" applyBorder="1" applyAlignment="1" applyProtection="1">
      <alignment wrapText="1"/>
      <protection/>
    </xf>
    <xf numFmtId="0" fontId="0" fillId="0" borderId="33" xfId="0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5" xfId="0" applyFill="1" applyBorder="1" applyAlignment="1" applyProtection="1">
      <alignment wrapText="1"/>
      <protection/>
    </xf>
    <xf numFmtId="0" fontId="42" fillId="0" borderId="0" xfId="0" applyFont="1" applyAlignment="1" applyProtection="1">
      <alignment wrapText="1"/>
      <protection/>
    </xf>
    <xf numFmtId="0" fontId="0" fillId="41" borderId="16" xfId="0" applyFill="1" applyBorder="1" applyAlignment="1" applyProtection="1">
      <alignment wrapText="1"/>
      <protection/>
    </xf>
    <xf numFmtId="187" fontId="0" fillId="0" borderId="16" xfId="0" applyNumberFormat="1" applyFill="1" applyBorder="1" applyAlignment="1" applyProtection="1">
      <alignment wrapText="1"/>
      <protection/>
    </xf>
    <xf numFmtId="0" fontId="42" fillId="0" borderId="0" xfId="0" applyFont="1" applyBorder="1" applyAlignment="1" applyProtection="1">
      <alignment wrapText="1"/>
      <protection/>
    </xf>
    <xf numFmtId="0" fontId="0" fillId="0" borderId="36" xfId="0" applyFill="1" applyBorder="1" applyAlignment="1" applyProtection="1">
      <alignment wrapText="1"/>
      <protection/>
    </xf>
    <xf numFmtId="187" fontId="0" fillId="0" borderId="0" xfId="0" applyNumberFormat="1" applyFill="1" applyBorder="1" applyAlignment="1" applyProtection="1">
      <alignment wrapText="1"/>
      <protection/>
    </xf>
    <xf numFmtId="0" fontId="0" fillId="39" borderId="37" xfId="0" applyFill="1" applyBorder="1" applyAlignment="1" applyProtection="1">
      <alignment wrapText="1"/>
      <protection/>
    </xf>
    <xf numFmtId="0" fontId="0" fillId="39" borderId="36" xfId="0" applyFill="1" applyBorder="1" applyAlignment="1" applyProtection="1">
      <alignment wrapText="1"/>
      <protection/>
    </xf>
    <xf numFmtId="0" fontId="0" fillId="39" borderId="38" xfId="0" applyFill="1" applyBorder="1" applyAlignment="1" applyProtection="1">
      <alignment wrapText="1"/>
      <protection/>
    </xf>
    <xf numFmtId="0" fontId="0" fillId="35" borderId="13" xfId="0" applyFont="1" applyFill="1" applyBorder="1" applyAlignment="1" applyProtection="1">
      <alignment wrapText="1"/>
      <protection/>
    </xf>
    <xf numFmtId="0" fontId="4" fillId="40" borderId="14" xfId="0" applyFont="1" applyFill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38" xfId="0" applyFont="1" applyFill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 quotePrefix="1">
      <alignment horizontal="left" wrapText="1"/>
      <protection/>
    </xf>
    <xf numFmtId="0" fontId="0" fillId="39" borderId="24" xfId="0" applyFill="1" applyBorder="1" applyAlignment="1" applyProtection="1">
      <alignment wrapText="1"/>
      <protection/>
    </xf>
    <xf numFmtId="0" fontId="0" fillId="39" borderId="39" xfId="0" applyFill="1" applyBorder="1" applyAlignment="1" applyProtection="1">
      <alignment wrapText="1"/>
      <protection/>
    </xf>
    <xf numFmtId="0" fontId="0" fillId="42" borderId="40" xfId="0" applyFont="1" applyFill="1" applyBorder="1" applyAlignment="1" applyProtection="1">
      <alignment wrapText="1"/>
      <protection/>
    </xf>
    <xf numFmtId="0" fontId="4" fillId="0" borderId="18" xfId="0" applyFont="1" applyBorder="1" applyAlignment="1" applyProtection="1">
      <alignment wrapText="1"/>
      <protection/>
    </xf>
    <xf numFmtId="0" fontId="4" fillId="40" borderId="41" xfId="0" applyFont="1" applyFill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wrapText="1"/>
      <protection/>
    </xf>
    <xf numFmtId="0" fontId="0" fillId="39" borderId="37" xfId="0" applyFill="1" applyBorder="1" applyAlignment="1" applyProtection="1" quotePrefix="1">
      <alignment wrapText="1"/>
      <protection/>
    </xf>
    <xf numFmtId="0" fontId="0" fillId="0" borderId="43" xfId="0" applyFill="1" applyBorder="1" applyAlignment="1" applyProtection="1" quotePrefix="1">
      <alignment wrapText="1"/>
      <protection/>
    </xf>
    <xf numFmtId="0" fontId="0" fillId="42" borderId="44" xfId="0" applyFont="1" applyFill="1" applyBorder="1" applyAlignment="1" applyProtection="1">
      <alignment wrapText="1"/>
      <protection/>
    </xf>
    <xf numFmtId="168" fontId="4" fillId="40" borderId="45" xfId="0" applyNumberFormat="1" applyFont="1" applyFill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wrapText="1"/>
      <protection/>
    </xf>
    <xf numFmtId="0" fontId="0" fillId="37" borderId="43" xfId="0" applyFill="1" applyBorder="1" applyAlignment="1" applyProtection="1">
      <alignment wrapText="1"/>
      <protection/>
    </xf>
    <xf numFmtId="0" fontId="0" fillId="0" borderId="33" xfId="0" applyFont="1" applyBorder="1" applyAlignment="1" applyProtection="1">
      <alignment wrapText="1"/>
      <protection/>
    </xf>
    <xf numFmtId="2" fontId="4" fillId="40" borderId="33" xfId="0" applyNumberFormat="1" applyFont="1" applyFill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wrapText="1"/>
      <protection/>
    </xf>
    <xf numFmtId="0" fontId="0" fillId="0" borderId="19" xfId="0" applyFont="1" applyBorder="1" applyAlignment="1" applyProtection="1">
      <alignment wrapText="1"/>
      <protection/>
    </xf>
    <xf numFmtId="0" fontId="4" fillId="40" borderId="19" xfId="0" applyFont="1" applyFill="1" applyBorder="1" applyAlignment="1" applyProtection="1">
      <alignment horizontal="center" wrapText="1"/>
      <protection/>
    </xf>
    <xf numFmtId="0" fontId="4" fillId="0" borderId="19" xfId="0" applyFont="1" applyBorder="1" applyAlignment="1" applyProtection="1">
      <alignment wrapText="1"/>
      <protection/>
    </xf>
    <xf numFmtId="0" fontId="0" fillId="37" borderId="47" xfId="0" applyFill="1" applyBorder="1" applyAlignment="1" applyProtection="1">
      <alignment wrapText="1"/>
      <protection/>
    </xf>
    <xf numFmtId="187" fontId="4" fillId="40" borderId="19" xfId="0" applyNumberFormat="1" applyFont="1" applyFill="1" applyBorder="1" applyAlignment="1" applyProtection="1">
      <alignment horizontal="center" wrapText="1"/>
      <protection/>
    </xf>
    <xf numFmtId="0" fontId="0" fillId="39" borderId="48" xfId="0" applyFill="1" applyBorder="1" applyAlignment="1" applyProtection="1">
      <alignment wrapText="1"/>
      <protection/>
    </xf>
    <xf numFmtId="0" fontId="0" fillId="39" borderId="49" xfId="0" applyFill="1" applyBorder="1" applyAlignment="1" applyProtection="1">
      <alignment wrapText="1"/>
      <protection/>
    </xf>
    <xf numFmtId="0" fontId="0" fillId="39" borderId="50" xfId="0" applyFill="1" applyBorder="1" applyAlignment="1" applyProtection="1">
      <alignment wrapText="1"/>
      <protection/>
    </xf>
    <xf numFmtId="0" fontId="30" fillId="43" borderId="24" xfId="0" applyFont="1" applyFill="1" applyBorder="1" applyAlignment="1" applyProtection="1">
      <alignment wrapText="1"/>
      <protection/>
    </xf>
    <xf numFmtId="0" fontId="25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wrapText="1"/>
      <protection/>
    </xf>
    <xf numFmtId="0" fontId="30" fillId="43" borderId="16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 wrapText="1"/>
      <protection/>
    </xf>
    <xf numFmtId="0" fontId="28" fillId="0" borderId="0" xfId="0" applyFont="1" applyFill="1" applyBorder="1" applyAlignment="1" applyProtection="1">
      <alignment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vertical="top" wrapText="1"/>
      <protection/>
    </xf>
    <xf numFmtId="0" fontId="26" fillId="0" borderId="0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31" fillId="36" borderId="1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 shrinkToFit="1"/>
      <protection/>
    </xf>
    <xf numFmtId="0" fontId="29" fillId="0" borderId="0" xfId="0" applyFont="1" applyFill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wrapText="1"/>
      <protection/>
    </xf>
    <xf numFmtId="0" fontId="38" fillId="43" borderId="24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30" fillId="0" borderId="0" xfId="0" applyFont="1" applyFill="1" applyBorder="1" applyAlignment="1" applyProtection="1">
      <alignment wrapText="1"/>
      <protection/>
    </xf>
    <xf numFmtId="168" fontId="0" fillId="0" borderId="0" xfId="0" applyNumberFormat="1" applyFill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indent="2"/>
      <protection/>
    </xf>
    <xf numFmtId="0" fontId="0" fillId="0" borderId="24" xfId="0" applyFill="1" applyBorder="1" applyAlignment="1" applyProtection="1">
      <alignment wrapText="1"/>
      <protection/>
    </xf>
    <xf numFmtId="2" fontId="0" fillId="0" borderId="24" xfId="0" applyNumberFormat="1" applyFill="1" applyBorder="1" applyAlignment="1" applyProtection="1">
      <alignment wrapText="1"/>
      <protection/>
    </xf>
    <xf numFmtId="2" fontId="0" fillId="0" borderId="47" xfId="0" applyNumberForma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7" xfId="0" applyNumberFormat="1" applyFill="1" applyBorder="1" applyAlignment="1" applyProtection="1">
      <alignment wrapText="1"/>
      <protection/>
    </xf>
    <xf numFmtId="0" fontId="0" fillId="0" borderId="16" xfId="0" applyNumberFormat="1" applyFill="1" applyBorder="1" applyAlignment="1" applyProtection="1">
      <alignment wrapText="1"/>
      <protection/>
    </xf>
    <xf numFmtId="168" fontId="0" fillId="39" borderId="16" xfId="0" applyNumberFormat="1" applyFill="1" applyBorder="1" applyAlignment="1" applyProtection="1">
      <alignment wrapText="1"/>
      <protection/>
    </xf>
    <xf numFmtId="0" fontId="0" fillId="0" borderId="51" xfId="0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 wrapText="1"/>
      <protection/>
    </xf>
    <xf numFmtId="1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187" fontId="3" fillId="0" borderId="24" xfId="0" applyNumberFormat="1" applyFont="1" applyBorder="1" applyAlignment="1" applyProtection="1">
      <alignment wrapText="1"/>
      <protection/>
    </xf>
    <xf numFmtId="168" fontId="3" fillId="0" borderId="10" xfId="0" applyNumberFormat="1" applyFont="1" applyBorder="1" applyAlignment="1" applyProtection="1">
      <alignment wrapText="1"/>
      <protection/>
    </xf>
    <xf numFmtId="187" fontId="3" fillId="0" borderId="24" xfId="0" applyNumberFormat="1" applyFont="1" applyBorder="1" applyAlignment="1" applyProtection="1">
      <alignment horizontal="right" vertical="top" wrapText="1"/>
      <protection/>
    </xf>
    <xf numFmtId="0" fontId="25" fillId="33" borderId="48" xfId="0" applyFont="1" applyFill="1" applyBorder="1" applyAlignment="1" applyProtection="1">
      <alignment horizontal="right" vertical="top" wrapText="1"/>
      <protection/>
    </xf>
    <xf numFmtId="187" fontId="3" fillId="0" borderId="43" xfId="0" applyNumberFormat="1" applyFont="1" applyBorder="1" applyAlignment="1" applyProtection="1">
      <alignment wrapText="1"/>
      <protection/>
    </xf>
    <xf numFmtId="168" fontId="3" fillId="0" borderId="52" xfId="0" applyNumberFormat="1" applyFont="1" applyBorder="1" applyAlignment="1" applyProtection="1">
      <alignment wrapText="1"/>
      <protection/>
    </xf>
    <xf numFmtId="187" fontId="3" fillId="0" borderId="43" xfId="0" applyNumberFormat="1" applyFont="1" applyBorder="1" applyAlignment="1" applyProtection="1">
      <alignment horizontal="right" vertical="top" wrapText="1"/>
      <protection/>
    </xf>
    <xf numFmtId="0" fontId="30" fillId="0" borderId="19" xfId="0" applyFont="1" applyFill="1" applyBorder="1" applyAlignment="1" applyProtection="1">
      <alignment wrapText="1"/>
      <protection/>
    </xf>
    <xf numFmtId="187" fontId="3" fillId="0" borderId="47" xfId="0" applyNumberFormat="1" applyFont="1" applyBorder="1" applyAlignment="1" applyProtection="1">
      <alignment wrapText="1"/>
      <protection/>
    </xf>
    <xf numFmtId="168" fontId="3" fillId="0" borderId="53" xfId="0" applyNumberFormat="1" applyFont="1" applyBorder="1" applyAlignment="1" applyProtection="1">
      <alignment wrapText="1"/>
      <protection/>
    </xf>
    <xf numFmtId="187" fontId="3" fillId="0" borderId="47" xfId="0" applyNumberFormat="1" applyFont="1" applyBorder="1" applyAlignment="1" applyProtection="1">
      <alignment horizontal="right" vertical="top" wrapText="1"/>
      <protection/>
    </xf>
    <xf numFmtId="0" fontId="30" fillId="0" borderId="54" xfId="0" applyFont="1" applyFill="1" applyBorder="1" applyAlignment="1" applyProtection="1">
      <alignment wrapText="1"/>
      <protection/>
    </xf>
    <xf numFmtId="0" fontId="44" fillId="0" borderId="0" xfId="0" applyFont="1" applyFill="1" applyAlignment="1" applyProtection="1">
      <alignment wrapText="1"/>
      <protection/>
    </xf>
    <xf numFmtId="187" fontId="10" fillId="36" borderId="55" xfId="0" applyNumberFormat="1" applyFont="1" applyFill="1" applyBorder="1" applyAlignment="1" applyProtection="1">
      <alignment wrapText="1"/>
      <protection/>
    </xf>
    <xf numFmtId="187" fontId="10" fillId="36" borderId="55" xfId="0" applyNumberFormat="1" applyFont="1" applyFill="1" applyBorder="1" applyAlignment="1" applyProtection="1">
      <alignment horizontal="right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187" fontId="10" fillId="0" borderId="0" xfId="0" applyNumberFormat="1" applyFont="1" applyFill="1" applyBorder="1" applyAlignment="1" applyProtection="1">
      <alignment wrapText="1"/>
      <protection/>
    </xf>
    <xf numFmtId="187" fontId="10" fillId="0" borderId="0" xfId="0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 quotePrefix="1">
      <alignment vertical="top" wrapText="1"/>
      <protection/>
    </xf>
    <xf numFmtId="0" fontId="4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Border="1" applyAlignment="1" applyProtection="1">
      <alignment wrapText="1"/>
      <protection/>
    </xf>
    <xf numFmtId="0" fontId="34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wrapText="1"/>
      <protection/>
    </xf>
    <xf numFmtId="179" fontId="4" fillId="0" borderId="0" xfId="0" applyNumberFormat="1" applyFont="1" applyBorder="1" applyAlignment="1" applyProtection="1">
      <alignment wrapText="1"/>
      <protection/>
    </xf>
    <xf numFmtId="0" fontId="20" fillId="0" borderId="0" xfId="0" applyFont="1" applyBorder="1" applyAlignment="1" applyProtection="1">
      <alignment wrapText="1"/>
      <protection/>
    </xf>
    <xf numFmtId="0" fontId="23" fillId="38" borderId="17" xfId="0" applyFont="1" applyFill="1" applyBorder="1" applyAlignment="1" applyProtection="1">
      <alignment horizontal="right" vertical="top" wrapText="1"/>
      <protection/>
    </xf>
    <xf numFmtId="2" fontId="27" fillId="38" borderId="16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center" textRotation="90" wrapText="1"/>
      <protection/>
    </xf>
    <xf numFmtId="0" fontId="26" fillId="0" borderId="0" xfId="0" applyFont="1" applyBorder="1" applyAlignment="1" applyProtection="1">
      <alignment horizontal="right" vertical="top" wrapText="1"/>
      <protection/>
    </xf>
    <xf numFmtId="0" fontId="24" fillId="38" borderId="17" xfId="0" applyFont="1" applyFill="1" applyBorder="1" applyAlignment="1" applyProtection="1">
      <alignment vertical="top" wrapText="1"/>
      <protection/>
    </xf>
    <xf numFmtId="187" fontId="25" fillId="38" borderId="16" xfId="0" applyNumberFormat="1" applyFont="1" applyFill="1" applyBorder="1" applyAlignment="1" applyProtection="1">
      <alignment horizontal="left" vertical="top" wrapText="1"/>
      <protection/>
    </xf>
    <xf numFmtId="0" fontId="23" fillId="38" borderId="16" xfId="0" applyFont="1" applyFill="1" applyBorder="1" applyAlignment="1" applyProtection="1">
      <alignment horizontal="right" vertical="top" wrapText="1"/>
      <protection/>
    </xf>
    <xf numFmtId="0" fontId="22" fillId="0" borderId="0" xfId="0" applyFont="1" applyFill="1" applyBorder="1" applyAlignment="1" applyProtection="1">
      <alignment horizontal="right" wrapText="1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ill="1" applyBorder="1" applyAlignment="1" applyProtection="1" quotePrefix="1">
      <alignment wrapText="1"/>
      <protection/>
    </xf>
    <xf numFmtId="0" fontId="9" fillId="36" borderId="0" xfId="53" applyFont="1" applyFill="1" applyProtection="1">
      <alignment/>
      <protection/>
    </xf>
    <xf numFmtId="0" fontId="4" fillId="0" borderId="24" xfId="0" applyFont="1" applyBorder="1" applyAlignment="1" applyProtection="1" quotePrefix="1">
      <alignment wrapText="1"/>
      <protection/>
    </xf>
    <xf numFmtId="0" fontId="4" fillId="0" borderId="43" xfId="0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4" fillId="0" borderId="47" xfId="0" applyFont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wrapText="1"/>
      <protection/>
    </xf>
    <xf numFmtId="0" fontId="4" fillId="0" borderId="56" xfId="0" applyFont="1" applyBorder="1" applyAlignment="1" applyProtection="1">
      <alignment wrapText="1"/>
      <protection/>
    </xf>
    <xf numFmtId="0" fontId="4" fillId="0" borderId="47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57" xfId="0" applyFont="1" applyBorder="1" applyAlignment="1" applyProtection="1">
      <alignment wrapText="1"/>
      <protection/>
    </xf>
    <xf numFmtId="0" fontId="2" fillId="0" borderId="57" xfId="0" applyFont="1" applyFill="1" applyBorder="1" applyAlignment="1" applyProtection="1">
      <alignment wrapText="1"/>
      <protection/>
    </xf>
    <xf numFmtId="0" fontId="0" fillId="0" borderId="57" xfId="0" applyBorder="1" applyAlignment="1" applyProtection="1">
      <alignment wrapText="1"/>
      <protection/>
    </xf>
    <xf numFmtId="0" fontId="0" fillId="0" borderId="57" xfId="0" applyFill="1" applyBorder="1" applyAlignment="1" applyProtection="1">
      <alignment wrapText="1"/>
      <protection/>
    </xf>
    <xf numFmtId="0" fontId="4" fillId="34" borderId="0" xfId="0" applyFont="1" applyFill="1" applyAlignment="1" applyProtection="1">
      <alignment wrapText="1"/>
      <protection/>
    </xf>
    <xf numFmtId="0" fontId="4" fillId="35" borderId="0" xfId="0" applyFont="1" applyFill="1" applyAlignment="1" applyProtection="1">
      <alignment wrapText="1"/>
      <protection/>
    </xf>
    <xf numFmtId="0" fontId="3" fillId="0" borderId="58" xfId="0" applyFont="1" applyBorder="1" applyAlignment="1" applyProtection="1">
      <alignment wrapText="1"/>
      <protection/>
    </xf>
    <xf numFmtId="0" fontId="3" fillId="0" borderId="59" xfId="0" applyFont="1" applyBorder="1" applyAlignment="1" applyProtection="1">
      <alignment wrapText="1"/>
      <protection/>
    </xf>
    <xf numFmtId="0" fontId="3" fillId="0" borderId="59" xfId="0" applyFont="1" applyFill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36" borderId="0" xfId="0" applyFont="1" applyFill="1" applyAlignment="1" applyProtection="1">
      <alignment wrapText="1"/>
      <protection/>
    </xf>
    <xf numFmtId="0" fontId="3" fillId="0" borderId="60" xfId="0" applyFont="1" applyBorder="1" applyAlignment="1" applyProtection="1">
      <alignment wrapText="1"/>
      <protection/>
    </xf>
    <xf numFmtId="0" fontId="3" fillId="0" borderId="61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36" borderId="23" xfId="0" applyFont="1" applyFill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5" fillId="0" borderId="62" xfId="0" applyFont="1" applyFill="1" applyBorder="1" applyAlignment="1" applyProtection="1">
      <alignment horizontal="center" wrapText="1"/>
      <protection/>
    </xf>
    <xf numFmtId="0" fontId="5" fillId="36" borderId="13" xfId="0" applyFont="1" applyFill="1" applyBorder="1" applyAlignment="1" applyProtection="1">
      <alignment horizontal="center" wrapText="1"/>
      <protection/>
    </xf>
    <xf numFmtId="0" fontId="5" fillId="36" borderId="14" xfId="0" applyFont="1" applyFill="1" applyBorder="1" applyAlignment="1" applyProtection="1">
      <alignment horizontal="center" wrapText="1"/>
      <protection/>
    </xf>
    <xf numFmtId="0" fontId="5" fillId="36" borderId="15" xfId="0" applyFont="1" applyFill="1" applyBorder="1" applyAlignment="1" applyProtection="1">
      <alignment horizontal="center" wrapText="1"/>
      <protection/>
    </xf>
    <xf numFmtId="0" fontId="5" fillId="36" borderId="63" xfId="0" applyFont="1" applyFill="1" applyBorder="1" applyAlignment="1" applyProtection="1">
      <alignment horizontal="center" wrapText="1"/>
      <protection/>
    </xf>
    <xf numFmtId="0" fontId="5" fillId="44" borderId="14" xfId="0" applyFont="1" applyFill="1" applyBorder="1" applyAlignment="1" applyProtection="1">
      <alignment horizontal="center" wrapText="1"/>
      <protection/>
    </xf>
    <xf numFmtId="0" fontId="5" fillId="44" borderId="38" xfId="0" applyFont="1" applyFill="1" applyBorder="1" applyAlignment="1" applyProtection="1">
      <alignment horizontal="center" wrapText="1"/>
      <protection/>
    </xf>
    <xf numFmtId="0" fontId="0" fillId="45" borderId="0" xfId="0" applyFill="1" applyBorder="1" applyAlignment="1" applyProtection="1">
      <alignment wrapText="1"/>
      <protection/>
    </xf>
    <xf numFmtId="0" fontId="3" fillId="0" borderId="51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vertical="center" wrapText="1"/>
      <protection/>
    </xf>
    <xf numFmtId="0" fontId="3" fillId="0" borderId="64" xfId="0" applyFont="1" applyBorder="1" applyAlignment="1" applyProtection="1">
      <alignment vertical="center" wrapText="1"/>
      <protection/>
    </xf>
    <xf numFmtId="0" fontId="3" fillId="46" borderId="64" xfId="0" applyFont="1" applyFill="1" applyBorder="1" applyAlignment="1" applyProtection="1" quotePrefix="1">
      <alignment vertical="center" textRotation="90" wrapText="1"/>
      <protection/>
    </xf>
    <xf numFmtId="0" fontId="4" fillId="36" borderId="40" xfId="0" applyFont="1" applyFill="1" applyBorder="1" applyAlignment="1" applyProtection="1">
      <alignment horizontal="left" textRotation="90" wrapText="1"/>
      <protection/>
    </xf>
    <xf numFmtId="0" fontId="4" fillId="36" borderId="65" xfId="0" applyFont="1" applyFill="1" applyBorder="1" applyAlignment="1" applyProtection="1">
      <alignment horizontal="left" textRotation="90" wrapText="1"/>
      <protection/>
    </xf>
    <xf numFmtId="0" fontId="4" fillId="36" borderId="66" xfId="0" applyFont="1" applyFill="1" applyBorder="1" applyAlignment="1" applyProtection="1">
      <alignment horizontal="left" textRotation="90" wrapText="1"/>
      <protection/>
    </xf>
    <xf numFmtId="0" fontId="4" fillId="45" borderId="40" xfId="0" applyFont="1" applyFill="1" applyBorder="1" applyAlignment="1" applyProtection="1">
      <alignment horizontal="left" textRotation="90" wrapText="1"/>
      <protection/>
    </xf>
    <xf numFmtId="0" fontId="4" fillId="45" borderId="65" xfId="0" applyFont="1" applyFill="1" applyBorder="1" applyAlignment="1" applyProtection="1">
      <alignment horizontal="left" textRotation="90" wrapText="1"/>
      <protection/>
    </xf>
    <xf numFmtId="0" fontId="4" fillId="45" borderId="41" xfId="0" applyFont="1" applyFill="1" applyBorder="1" applyAlignment="1" applyProtection="1">
      <alignment horizontal="left" textRotation="90" wrapText="1"/>
      <protection/>
    </xf>
    <xf numFmtId="0" fontId="4" fillId="45" borderId="44" xfId="0" applyFont="1" applyFill="1" applyBorder="1" applyAlignment="1" applyProtection="1">
      <alignment horizontal="left" textRotation="90" wrapText="1"/>
      <protection/>
    </xf>
    <xf numFmtId="0" fontId="4" fillId="45" borderId="45" xfId="0" applyFont="1" applyFill="1" applyBorder="1" applyAlignment="1" applyProtection="1">
      <alignment horizontal="left" textRotation="90" wrapText="1"/>
      <protection/>
    </xf>
    <xf numFmtId="0" fontId="4" fillId="45" borderId="46" xfId="0" applyFont="1" applyFill="1" applyBorder="1" applyAlignment="1" applyProtection="1">
      <alignment horizontal="left" textRotation="90" wrapText="1"/>
      <protection/>
    </xf>
    <xf numFmtId="0" fontId="4" fillId="0" borderId="49" xfId="0" applyFont="1" applyFill="1" applyBorder="1" applyAlignment="1" applyProtection="1">
      <alignment horizontal="left" textRotation="90" wrapText="1"/>
      <protection/>
    </xf>
    <xf numFmtId="0" fontId="4" fillId="36" borderId="41" xfId="0" applyFont="1" applyFill="1" applyBorder="1" applyAlignment="1" applyProtection="1">
      <alignment horizontal="left" textRotation="90" wrapText="1"/>
      <protection/>
    </xf>
    <xf numFmtId="0" fontId="4" fillId="36" borderId="62" xfId="0" applyFont="1" applyFill="1" applyBorder="1" applyAlignment="1" applyProtection="1">
      <alignment horizontal="left" textRotation="90" wrapText="1"/>
      <protection/>
    </xf>
    <xf numFmtId="0" fontId="4" fillId="44" borderId="40" xfId="0" applyFont="1" applyFill="1" applyBorder="1" applyAlignment="1" applyProtection="1">
      <alignment horizontal="left" textRotation="90" wrapText="1"/>
      <protection/>
    </xf>
    <xf numFmtId="0" fontId="4" fillId="44" borderId="65" xfId="0" applyFont="1" applyFill="1" applyBorder="1" applyAlignment="1" applyProtection="1">
      <alignment horizontal="left" textRotation="90" wrapText="1"/>
      <protection/>
    </xf>
    <xf numFmtId="0" fontId="4" fillId="44" borderId="41" xfId="0" applyFont="1" applyFill="1" applyBorder="1" applyAlignment="1" applyProtection="1">
      <alignment horizontal="left" textRotation="90" wrapText="1"/>
      <protection/>
    </xf>
    <xf numFmtId="0" fontId="4" fillId="44" borderId="16" xfId="0" applyFont="1" applyFill="1" applyBorder="1" applyAlignment="1" applyProtection="1">
      <alignment horizontal="left" textRotation="90" wrapText="1"/>
      <protection/>
    </xf>
    <xf numFmtId="0" fontId="4" fillId="44" borderId="50" xfId="0" applyFont="1" applyFill="1" applyBorder="1" applyAlignment="1" applyProtection="1">
      <alignment horizontal="left" textRotation="90" wrapText="1"/>
      <protection/>
    </xf>
    <xf numFmtId="0" fontId="0" fillId="45" borderId="0" xfId="0" applyFill="1" applyAlignment="1" applyProtection="1">
      <alignment wrapText="1"/>
      <protection/>
    </xf>
    <xf numFmtId="0" fontId="0" fillId="0" borderId="49" xfId="0" applyFill="1" applyBorder="1" applyAlignment="1" applyProtection="1">
      <alignment wrapText="1"/>
      <protection/>
    </xf>
    <xf numFmtId="0" fontId="0" fillId="34" borderId="49" xfId="0" applyFill="1" applyBorder="1" applyAlignment="1" applyProtection="1">
      <alignment wrapText="1"/>
      <protection/>
    </xf>
    <xf numFmtId="0" fontId="0" fillId="35" borderId="49" xfId="0" applyFill="1" applyBorder="1" applyAlignment="1" applyProtection="1">
      <alignment wrapText="1"/>
      <protection/>
    </xf>
    <xf numFmtId="0" fontId="3" fillId="0" borderId="67" xfId="0" applyFont="1" applyBorder="1" applyAlignment="1" applyProtection="1">
      <alignment wrapText="1"/>
      <protection/>
    </xf>
    <xf numFmtId="0" fontId="3" fillId="0" borderId="55" xfId="0" applyFont="1" applyBorder="1" applyAlignment="1" applyProtection="1">
      <alignment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46" borderId="17" xfId="0" applyFont="1" applyFill="1" applyBorder="1" applyAlignment="1" applyProtection="1">
      <alignment vertical="center" wrapText="1"/>
      <protection/>
    </xf>
    <xf numFmtId="0" fontId="4" fillId="41" borderId="40" xfId="0" applyFont="1" applyFill="1" applyBorder="1" applyAlignment="1" applyProtection="1">
      <alignment horizontal="left" wrapText="1"/>
      <protection/>
    </xf>
    <xf numFmtId="0" fontId="4" fillId="41" borderId="65" xfId="0" applyFont="1" applyFill="1" applyBorder="1" applyAlignment="1" applyProtection="1">
      <alignment horizontal="left" wrapText="1"/>
      <protection/>
    </xf>
    <xf numFmtId="0" fontId="10" fillId="0" borderId="17" xfId="0" applyFont="1" applyFill="1" applyBorder="1" applyAlignment="1" applyProtection="1">
      <alignment vertical="center" wrapText="1"/>
      <protection/>
    </xf>
    <xf numFmtId="0" fontId="4" fillId="41" borderId="16" xfId="0" applyFont="1" applyFill="1" applyBorder="1" applyAlignment="1" applyProtection="1">
      <alignment horizontal="left" wrapText="1"/>
      <protection/>
    </xf>
    <xf numFmtId="0" fontId="4" fillId="41" borderId="18" xfId="0" applyFont="1" applyFill="1" applyBorder="1" applyAlignment="1" applyProtection="1">
      <alignment horizontal="left" wrapText="1"/>
      <protection/>
    </xf>
    <xf numFmtId="0" fontId="10" fillId="0" borderId="49" xfId="0" applyFont="1" applyFill="1" applyBorder="1" applyAlignment="1" applyProtection="1">
      <alignment vertical="center" wrapText="1"/>
      <protection/>
    </xf>
    <xf numFmtId="0" fontId="4" fillId="41" borderId="44" xfId="0" applyFont="1" applyFill="1" applyBorder="1" applyAlignment="1" applyProtection="1">
      <alignment horizontal="left" wrapText="1"/>
      <protection/>
    </xf>
    <xf numFmtId="0" fontId="10" fillId="0" borderId="48" xfId="0" applyFont="1" applyFill="1" applyBorder="1" applyAlignment="1" applyProtection="1">
      <alignment vertical="center" wrapText="1"/>
      <protection/>
    </xf>
    <xf numFmtId="0" fontId="0" fillId="36" borderId="49" xfId="0" applyFill="1" applyBorder="1" applyAlignment="1" applyProtection="1">
      <alignment wrapText="1"/>
      <protection/>
    </xf>
    <xf numFmtId="0" fontId="0" fillId="45" borderId="49" xfId="0" applyFill="1" applyBorder="1" applyAlignment="1" applyProtection="1">
      <alignment wrapText="1"/>
      <protection/>
    </xf>
    <xf numFmtId="0" fontId="0" fillId="37" borderId="19" xfId="0" applyFill="1" applyBorder="1" applyAlignment="1" applyProtection="1">
      <alignment wrapText="1"/>
      <protection/>
    </xf>
    <xf numFmtId="0" fontId="1" fillId="0" borderId="68" xfId="0" applyFont="1" applyBorder="1" applyAlignment="1" applyProtection="1">
      <alignment wrapText="1"/>
      <protection/>
    </xf>
    <xf numFmtId="0" fontId="4" fillId="41" borderId="69" xfId="0" applyFont="1" applyFill="1" applyBorder="1" applyAlignment="1" applyProtection="1">
      <alignment wrapText="1"/>
      <protection/>
    </xf>
    <xf numFmtId="0" fontId="4" fillId="46" borderId="51" xfId="0" applyFont="1" applyFill="1" applyBorder="1" applyAlignment="1" applyProtection="1">
      <alignment wrapText="1"/>
      <protection/>
    </xf>
    <xf numFmtId="0" fontId="3" fillId="36" borderId="70" xfId="0" applyFont="1" applyFill="1" applyBorder="1" applyAlignment="1" applyProtection="1">
      <alignment wrapText="1"/>
      <protection/>
    </xf>
    <xf numFmtId="2" fontId="3" fillId="36" borderId="33" xfId="0" applyNumberFormat="1" applyFont="1" applyFill="1" applyBorder="1" applyAlignment="1" applyProtection="1">
      <alignment wrapText="1"/>
      <protection/>
    </xf>
    <xf numFmtId="2" fontId="3" fillId="36" borderId="51" xfId="0" applyNumberFormat="1" applyFont="1" applyFill="1" applyBorder="1" applyAlignment="1" applyProtection="1">
      <alignment wrapText="1"/>
      <protection/>
    </xf>
    <xf numFmtId="0" fontId="3" fillId="0" borderId="69" xfId="0" applyFont="1" applyBorder="1" applyAlignment="1" applyProtection="1">
      <alignment wrapText="1"/>
      <protection/>
    </xf>
    <xf numFmtId="0" fontId="3" fillId="0" borderId="68" xfId="0" applyFont="1" applyBorder="1" applyAlignment="1" applyProtection="1">
      <alignment wrapText="1"/>
      <protection/>
    </xf>
    <xf numFmtId="0" fontId="3" fillId="0" borderId="57" xfId="0" applyFont="1" applyBorder="1" applyAlignment="1" applyProtection="1">
      <alignment wrapText="1"/>
      <protection/>
    </xf>
    <xf numFmtId="0" fontId="1" fillId="47" borderId="44" xfId="0" applyFont="1" applyFill="1" applyBorder="1" applyAlignment="1" applyProtection="1">
      <alignment wrapText="1"/>
      <protection/>
    </xf>
    <xf numFmtId="0" fontId="3" fillId="0" borderId="71" xfId="0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0" fillId="44" borderId="35" xfId="0" applyFill="1" applyBorder="1" applyAlignment="1" applyProtection="1">
      <alignment wrapText="1"/>
      <protection/>
    </xf>
    <xf numFmtId="0" fontId="1" fillId="0" borderId="43" xfId="0" applyFont="1" applyBorder="1" applyAlignment="1" applyProtection="1">
      <alignment wrapText="1"/>
      <protection/>
    </xf>
    <xf numFmtId="0" fontId="4" fillId="41" borderId="52" xfId="0" applyFont="1" applyFill="1" applyBorder="1" applyAlignment="1" applyProtection="1">
      <alignment wrapText="1"/>
      <protection/>
    </xf>
    <xf numFmtId="0" fontId="4" fillId="46" borderId="54" xfId="0" applyFont="1" applyFill="1" applyBorder="1" applyAlignment="1" applyProtection="1">
      <alignment wrapText="1"/>
      <protection/>
    </xf>
    <xf numFmtId="0" fontId="3" fillId="36" borderId="72" xfId="0" applyFont="1" applyFill="1" applyBorder="1" applyAlignment="1" applyProtection="1">
      <alignment wrapText="1"/>
      <protection/>
    </xf>
    <xf numFmtId="2" fontId="3" fillId="36" borderId="19" xfId="0" applyNumberFormat="1" applyFont="1" applyFill="1" applyBorder="1" applyAlignment="1" applyProtection="1">
      <alignment wrapText="1"/>
      <protection/>
    </xf>
    <xf numFmtId="2" fontId="3" fillId="36" borderId="54" xfId="0" applyNumberFormat="1" applyFont="1" applyFill="1" applyBorder="1" applyAlignment="1" applyProtection="1">
      <alignment wrapText="1"/>
      <protection/>
    </xf>
    <xf numFmtId="0" fontId="3" fillId="0" borderId="52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73" xfId="0" applyFont="1" applyBorder="1" applyAlignment="1" applyProtection="1">
      <alignment wrapText="1"/>
      <protection/>
    </xf>
    <xf numFmtId="0" fontId="1" fillId="47" borderId="74" xfId="0" applyFont="1" applyFill="1" applyBorder="1" applyAlignment="1" applyProtection="1">
      <alignment wrapText="1"/>
      <protection/>
    </xf>
    <xf numFmtId="0" fontId="3" fillId="0" borderId="75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2" fontId="3" fillId="0" borderId="27" xfId="0" applyNumberFormat="1" applyFont="1" applyBorder="1" applyAlignment="1" applyProtection="1">
      <alignment wrapText="1"/>
      <protection/>
    </xf>
    <xf numFmtId="2" fontId="3" fillId="0" borderId="75" xfId="0" applyNumberFormat="1" applyFont="1" applyBorder="1" applyAlignment="1" applyProtection="1">
      <alignment wrapText="1"/>
      <protection/>
    </xf>
    <xf numFmtId="2" fontId="3" fillId="0" borderId="52" xfId="0" applyNumberFormat="1" applyFont="1" applyBorder="1" applyAlignment="1" applyProtection="1">
      <alignment wrapText="1"/>
      <protection/>
    </xf>
    <xf numFmtId="0" fontId="0" fillId="44" borderId="23" xfId="0" applyFill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wrapText="1"/>
      <protection/>
    </xf>
    <xf numFmtId="0" fontId="3" fillId="36" borderId="76" xfId="0" applyFont="1" applyFill="1" applyBorder="1" applyAlignment="1" applyProtection="1">
      <alignment wrapText="1"/>
      <protection/>
    </xf>
    <xf numFmtId="0" fontId="3" fillId="36" borderId="21" xfId="0" applyFont="1" applyFill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36" borderId="19" xfId="0" applyFont="1" applyFill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wrapText="1"/>
      <protection/>
    </xf>
    <xf numFmtId="0" fontId="1" fillId="0" borderId="47" xfId="0" applyFont="1" applyBorder="1" applyAlignment="1" applyProtection="1">
      <alignment wrapText="1"/>
      <protection/>
    </xf>
    <xf numFmtId="0" fontId="11" fillId="0" borderId="68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wrapText="1"/>
      <protection/>
    </xf>
    <xf numFmtId="0" fontId="11" fillId="0" borderId="47" xfId="0" applyFont="1" applyBorder="1" applyAlignment="1" applyProtection="1">
      <alignment wrapText="1"/>
      <protection/>
    </xf>
    <xf numFmtId="0" fontId="1" fillId="47" borderId="77" xfId="0" applyFont="1" applyFill="1" applyBorder="1" applyAlignment="1" applyProtection="1">
      <alignment wrapText="1"/>
      <protection/>
    </xf>
    <xf numFmtId="0" fontId="0" fillId="44" borderId="15" xfId="0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vertical="center" textRotation="90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0" fillId="44" borderId="55" xfId="0" applyFill="1" applyBorder="1" applyAlignment="1" applyProtection="1">
      <alignment wrapText="1"/>
      <protection/>
    </xf>
    <xf numFmtId="0" fontId="0" fillId="44" borderId="46" xfId="0" applyFill="1" applyBorder="1" applyAlignment="1" applyProtection="1">
      <alignment wrapText="1"/>
      <protection/>
    </xf>
    <xf numFmtId="0" fontId="0" fillId="44" borderId="50" xfId="0" applyFill="1" applyBorder="1" applyAlignment="1" applyProtection="1">
      <alignment wrapText="1"/>
      <protection/>
    </xf>
    <xf numFmtId="0" fontId="0" fillId="40" borderId="16" xfId="0" applyFill="1" applyBorder="1" applyAlignment="1" applyProtection="1">
      <alignment wrapText="1"/>
      <protection/>
    </xf>
    <xf numFmtId="0" fontId="0" fillId="40" borderId="62" xfId="0" applyFill="1" applyBorder="1" applyAlignment="1" applyProtection="1">
      <alignment wrapText="1"/>
      <protection/>
    </xf>
    <xf numFmtId="2" fontId="10" fillId="39" borderId="16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5" fillId="34" borderId="0" xfId="0" applyFont="1" applyFill="1" applyAlignment="1" applyProtection="1">
      <alignment wrapText="1"/>
      <protection/>
    </xf>
    <xf numFmtId="0" fontId="5" fillId="35" borderId="0" xfId="0" applyFont="1" applyFill="1" applyAlignment="1" applyProtection="1">
      <alignment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6" borderId="0" xfId="0" applyFont="1" applyFill="1" applyAlignment="1" applyProtection="1">
      <alignment wrapText="1"/>
      <protection/>
    </xf>
    <xf numFmtId="0" fontId="0" fillId="0" borderId="49" xfId="0" applyBorder="1" applyAlignment="1" applyProtection="1">
      <alignment wrapText="1"/>
      <protection/>
    </xf>
    <xf numFmtId="0" fontId="4" fillId="0" borderId="49" xfId="0" applyFont="1" applyBorder="1" applyAlignment="1" applyProtection="1">
      <alignment wrapText="1"/>
      <protection/>
    </xf>
    <xf numFmtId="0" fontId="4" fillId="34" borderId="49" xfId="0" applyFont="1" applyFill="1" applyBorder="1" applyAlignment="1" applyProtection="1">
      <alignment wrapText="1"/>
      <protection/>
    </xf>
    <xf numFmtId="0" fontId="4" fillId="0" borderId="49" xfId="0" applyFont="1" applyFill="1" applyBorder="1" applyAlignment="1" applyProtection="1">
      <alignment wrapText="1"/>
      <protection/>
    </xf>
    <xf numFmtId="0" fontId="4" fillId="35" borderId="49" xfId="0" applyFont="1" applyFill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78" xfId="0" applyFont="1" applyBorder="1" applyAlignment="1" applyProtection="1">
      <alignment wrapText="1"/>
      <protection/>
    </xf>
    <xf numFmtId="0" fontId="4" fillId="36" borderId="49" xfId="0" applyFont="1" applyFill="1" applyBorder="1" applyAlignment="1" applyProtection="1">
      <alignment wrapText="1"/>
      <protection/>
    </xf>
    <xf numFmtId="0" fontId="3" fillId="0" borderId="79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80" xfId="0" applyFont="1" applyBorder="1" applyAlignment="1" applyProtection="1">
      <alignment wrapText="1"/>
      <protection/>
    </xf>
    <xf numFmtId="2" fontId="3" fillId="0" borderId="54" xfId="0" applyNumberFormat="1" applyFont="1" applyBorder="1" applyAlignment="1" applyProtection="1">
      <alignment wrapText="1"/>
      <protection/>
    </xf>
    <xf numFmtId="0" fontId="3" fillId="0" borderId="81" xfId="0" applyFont="1" applyBorder="1" applyAlignment="1" applyProtection="1">
      <alignment wrapText="1"/>
      <protection/>
    </xf>
    <xf numFmtId="0" fontId="3" fillId="0" borderId="82" xfId="0" applyFont="1" applyBorder="1" applyAlignment="1" applyProtection="1">
      <alignment wrapText="1"/>
      <protection/>
    </xf>
    <xf numFmtId="0" fontId="3" fillId="0" borderId="6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wrapText="1"/>
      <protection/>
    </xf>
    <xf numFmtId="0" fontId="5" fillId="0" borderId="28" xfId="0" applyFont="1" applyFill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horizontal="center" wrapText="1"/>
      <protection/>
    </xf>
    <xf numFmtId="0" fontId="4" fillId="0" borderId="50" xfId="0" applyFont="1" applyFill="1" applyBorder="1" applyAlignment="1" applyProtection="1">
      <alignment horizontal="left" textRotation="90" wrapText="1"/>
      <protection/>
    </xf>
    <xf numFmtId="0" fontId="4" fillId="36" borderId="83" xfId="0" applyFont="1" applyFill="1" applyBorder="1" applyAlignment="1" applyProtection="1">
      <alignment horizontal="left" textRotation="90" wrapText="1"/>
      <protection/>
    </xf>
    <xf numFmtId="0" fontId="3" fillId="0" borderId="70" xfId="0" applyFont="1" applyBorder="1" applyAlignment="1" applyProtection="1">
      <alignment wrapText="1"/>
      <protection/>
    </xf>
    <xf numFmtId="0" fontId="3" fillId="0" borderId="72" xfId="0" applyFont="1" applyBorder="1" applyAlignment="1" applyProtection="1">
      <alignment wrapText="1"/>
      <protection/>
    </xf>
    <xf numFmtId="2" fontId="3" fillId="0" borderId="19" xfId="0" applyNumberFormat="1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44" borderId="0" xfId="0" applyFill="1" applyAlignment="1" applyProtection="1">
      <alignment wrapText="1"/>
      <protection/>
    </xf>
    <xf numFmtId="0" fontId="4" fillId="44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19" xfId="0" applyBorder="1" applyAlignment="1" applyProtection="1">
      <alignment wrapText="1"/>
      <protection/>
    </xf>
    <xf numFmtId="10" fontId="0" fillId="0" borderId="19" xfId="0" applyNumberFormat="1" applyBorder="1" applyAlignment="1" applyProtection="1">
      <alignment wrapText="1"/>
      <protection/>
    </xf>
    <xf numFmtId="168" fontId="0" fillId="0" borderId="19" xfId="0" applyNumberFormat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3" fillId="0" borderId="19" xfId="0" applyFont="1" applyBorder="1" applyAlignment="1" applyProtection="1">
      <alignment horizontal="left" indent="2"/>
      <protection/>
    </xf>
    <xf numFmtId="0" fontId="0" fillId="36" borderId="12" xfId="0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0" fillId="39" borderId="19" xfId="0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9" borderId="16" xfId="0" applyFill="1" applyBorder="1" applyAlignment="1" applyProtection="1">
      <alignment/>
      <protection/>
    </xf>
    <xf numFmtId="182" fontId="0" fillId="0" borderId="19" xfId="0" applyNumberFormat="1" applyBorder="1" applyAlignment="1" applyProtection="1">
      <alignment/>
      <protection/>
    </xf>
    <xf numFmtId="0" fontId="13" fillId="37" borderId="16" xfId="0" applyFont="1" applyFill="1" applyBorder="1" applyAlignment="1" applyProtection="1">
      <alignment horizontal="center" vertical="top" wrapText="1"/>
      <protection/>
    </xf>
    <xf numFmtId="0" fontId="12" fillId="0" borderId="62" xfId="0" applyFont="1" applyBorder="1" applyAlignment="1" applyProtection="1">
      <alignment horizontal="center" vertical="top" wrapText="1"/>
      <protection/>
    </xf>
    <xf numFmtId="168" fontId="0" fillId="36" borderId="16" xfId="0" applyNumberFormat="1" applyFill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0" fillId="0" borderId="57" xfId="0" applyBorder="1" applyAlignment="1" applyProtection="1">
      <alignment/>
      <protection/>
    </xf>
    <xf numFmtId="0" fontId="13" fillId="0" borderId="55" xfId="0" applyFont="1" applyFill="1" applyBorder="1" applyAlignment="1" applyProtection="1">
      <alignment horizontal="center" vertical="top" wrapText="1"/>
      <protection/>
    </xf>
    <xf numFmtId="1" fontId="13" fillId="0" borderId="39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8" fillId="0" borderId="0" xfId="0" applyFont="1" applyFill="1" applyAlignment="1" applyProtection="1">
      <alignment horizontal="left"/>
      <protection/>
    </xf>
    <xf numFmtId="0" fontId="13" fillId="0" borderId="48" xfId="0" applyFont="1" applyBorder="1" applyAlignment="1" applyProtection="1">
      <alignment vertical="top" wrapText="1"/>
      <protection/>
    </xf>
    <xf numFmtId="0" fontId="13" fillId="0" borderId="37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12" fillId="0" borderId="27" xfId="0" applyFont="1" applyBorder="1" applyAlignment="1" applyProtection="1">
      <alignment/>
      <protection/>
    </xf>
    <xf numFmtId="0" fontId="13" fillId="36" borderId="55" xfId="0" applyFont="1" applyFill="1" applyBorder="1" applyAlignment="1" applyProtection="1">
      <alignment horizontal="center" vertical="top" wrapText="1"/>
      <protection/>
    </xf>
    <xf numFmtId="0" fontId="13" fillId="36" borderId="48" xfId="0" applyFont="1" applyFill="1" applyBorder="1" applyAlignment="1" applyProtection="1">
      <alignment horizontal="center" vertical="top" wrapText="1"/>
      <protection/>
    </xf>
    <xf numFmtId="0" fontId="13" fillId="36" borderId="11" xfId="0" applyFont="1" applyFill="1" applyBorder="1" applyAlignment="1" applyProtection="1">
      <alignment horizontal="center" vertical="top" wrapText="1"/>
      <protection/>
    </xf>
    <xf numFmtId="1" fontId="13" fillId="36" borderId="55" xfId="0" applyNumberFormat="1" applyFont="1" applyFill="1" applyBorder="1" applyAlignment="1" applyProtection="1">
      <alignment horizontal="center"/>
      <protection/>
    </xf>
    <xf numFmtId="1" fontId="16" fillId="0" borderId="19" xfId="0" applyNumberFormat="1" applyFont="1" applyBorder="1" applyAlignment="1" applyProtection="1">
      <alignment horizontal="center"/>
      <protection/>
    </xf>
    <xf numFmtId="1" fontId="12" fillId="0" borderId="19" xfId="0" applyNumberFormat="1" applyFont="1" applyBorder="1" applyAlignment="1" applyProtection="1">
      <alignment horizontal="center"/>
      <protection/>
    </xf>
    <xf numFmtId="1" fontId="12" fillId="0" borderId="19" xfId="0" applyNumberFormat="1" applyFont="1" applyBorder="1" applyAlignment="1" applyProtection="1">
      <alignment horizontal="center" vertical="top"/>
      <protection/>
    </xf>
    <xf numFmtId="1" fontId="12" fillId="0" borderId="54" xfId="0" applyNumberFormat="1" applyFont="1" applyBorder="1" applyAlignment="1" applyProtection="1">
      <alignment horizontal="center" vertical="top"/>
      <protection/>
    </xf>
    <xf numFmtId="1" fontId="16" fillId="0" borderId="19" xfId="0" applyNumberFormat="1" applyFont="1" applyBorder="1" applyAlignment="1" applyProtection="1">
      <alignment horizontal="center" vertical="top"/>
      <protection/>
    </xf>
    <xf numFmtId="1" fontId="12" fillId="0" borderId="54" xfId="0" applyNumberFormat="1" applyFont="1" applyBorder="1" applyAlignment="1" applyProtection="1">
      <alignment horizontal="center"/>
      <protection/>
    </xf>
    <xf numFmtId="2" fontId="0" fillId="36" borderId="16" xfId="0" applyNumberFormat="1" applyFill="1" applyBorder="1" applyAlignment="1" applyProtection="1">
      <alignment/>
      <protection/>
    </xf>
    <xf numFmtId="0" fontId="13" fillId="37" borderId="12" xfId="0" applyFont="1" applyFill="1" applyBorder="1" applyAlignment="1" applyProtection="1">
      <alignment horizontal="center" vertical="top" wrapText="1"/>
      <protection/>
    </xf>
    <xf numFmtId="0" fontId="13" fillId="0" borderId="55" xfId="0" applyFont="1" applyBorder="1" applyAlignment="1" applyProtection="1">
      <alignment horizontal="center" vertical="top" wrapText="1"/>
      <protection/>
    </xf>
    <xf numFmtId="0" fontId="0" fillId="36" borderId="16" xfId="0" applyFill="1" applyBorder="1" applyAlignment="1" applyProtection="1">
      <alignment/>
      <protection/>
    </xf>
    <xf numFmtId="0" fontId="13" fillId="0" borderId="5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43" borderId="19" xfId="0" applyFill="1" applyBorder="1" applyAlignment="1" applyProtection="1">
      <alignment wrapText="1"/>
      <protection/>
    </xf>
    <xf numFmtId="0" fontId="0" fillId="38" borderId="19" xfId="0" applyFill="1" applyBorder="1" applyAlignment="1" applyProtection="1">
      <alignment wrapText="1"/>
      <protection/>
    </xf>
    <xf numFmtId="181" fontId="0" fillId="40" borderId="19" xfId="0" applyNumberFormat="1" applyFill="1" applyBorder="1" applyAlignment="1" applyProtection="1">
      <alignment wrapText="1"/>
      <protection/>
    </xf>
    <xf numFmtId="0" fontId="0" fillId="43" borderId="29" xfId="0" applyFill="1" applyBorder="1" applyAlignment="1" applyProtection="1">
      <alignment wrapText="1"/>
      <protection/>
    </xf>
    <xf numFmtId="0" fontId="0" fillId="34" borderId="57" xfId="0" applyFill="1" applyBorder="1" applyAlignment="1" applyProtection="1">
      <alignment wrapText="1"/>
      <protection/>
    </xf>
    <xf numFmtId="0" fontId="0" fillId="35" borderId="57" xfId="0" applyFill="1" applyBorder="1" applyAlignment="1" applyProtection="1">
      <alignment wrapText="1"/>
      <protection/>
    </xf>
    <xf numFmtId="0" fontId="4" fillId="0" borderId="57" xfId="0" applyFont="1" applyBorder="1" applyAlignment="1" applyProtection="1">
      <alignment wrapText="1"/>
      <protection/>
    </xf>
    <xf numFmtId="0" fontId="4" fillId="0" borderId="57" xfId="0" applyFont="1" applyFill="1" applyBorder="1" applyAlignment="1" applyProtection="1">
      <alignment wrapText="1"/>
      <protection/>
    </xf>
    <xf numFmtId="0" fontId="0" fillId="36" borderId="57" xfId="0" applyFill="1" applyBorder="1" applyAlignment="1" applyProtection="1">
      <alignment wrapText="1"/>
      <protection/>
    </xf>
    <xf numFmtId="0" fontId="13" fillId="37" borderId="11" xfId="0" applyFont="1" applyFill="1" applyBorder="1" applyAlignment="1" applyProtection="1">
      <alignment horizontal="center" vertical="top" wrapText="1"/>
      <protection/>
    </xf>
    <xf numFmtId="0" fontId="13" fillId="0" borderId="39" xfId="0" applyFont="1" applyBorder="1" applyAlignment="1" applyProtection="1">
      <alignment horizontal="center" vertical="top" wrapText="1"/>
      <protection/>
    </xf>
    <xf numFmtId="0" fontId="0" fillId="36" borderId="11" xfId="0" applyFill="1" applyBorder="1" applyAlignment="1" applyProtection="1">
      <alignment/>
      <protection/>
    </xf>
    <xf numFmtId="0" fontId="4" fillId="0" borderId="64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62" xfId="0" applyFont="1" applyBorder="1" applyAlignment="1" applyProtection="1">
      <alignment horizontal="center" vertical="top" wrapText="1"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 wrapText="1"/>
      <protection/>
    </xf>
    <xf numFmtId="0" fontId="0" fillId="43" borderId="20" xfId="0" applyFill="1" applyBorder="1" applyAlignment="1" applyProtection="1">
      <alignment wrapText="1"/>
      <protection/>
    </xf>
    <xf numFmtId="0" fontId="0" fillId="38" borderId="21" xfId="0" applyFill="1" applyBorder="1" applyAlignment="1" applyProtection="1">
      <alignment wrapText="1"/>
      <protection/>
    </xf>
    <xf numFmtId="0" fontId="0" fillId="0" borderId="23" xfId="0" applyBorder="1" applyAlignment="1" applyProtection="1">
      <alignment wrapText="1"/>
      <protection/>
    </xf>
    <xf numFmtId="9" fontId="19" fillId="37" borderId="16" xfId="0" applyNumberFormat="1" applyFont="1" applyFill="1" applyBorder="1" applyAlignment="1" applyProtection="1">
      <alignment wrapText="1"/>
      <protection/>
    </xf>
    <xf numFmtId="0" fontId="4" fillId="0" borderId="38" xfId="0" applyFont="1" applyBorder="1" applyAlignment="1" applyProtection="1">
      <alignment wrapText="1"/>
      <protection/>
    </xf>
    <xf numFmtId="0" fontId="4" fillId="0" borderId="37" xfId="0" applyFont="1" applyBorder="1" applyAlignment="1" applyProtection="1">
      <alignment wrapText="1"/>
      <protection/>
    </xf>
    <xf numFmtId="0" fontId="0" fillId="43" borderId="75" xfId="0" applyFill="1" applyBorder="1" applyAlignment="1" applyProtection="1">
      <alignment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0" fillId="43" borderId="84" xfId="0" applyFill="1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63" xfId="0" applyBorder="1" applyAlignment="1" applyProtection="1">
      <alignment wrapText="1"/>
      <protection/>
    </xf>
    <xf numFmtId="0" fontId="0" fillId="0" borderId="37" xfId="0" applyBorder="1" applyAlignment="1" applyProtection="1">
      <alignment wrapText="1"/>
      <protection/>
    </xf>
    <xf numFmtId="0" fontId="4" fillId="0" borderId="37" xfId="0" applyFont="1" applyFill="1" applyBorder="1" applyAlignment="1" applyProtection="1">
      <alignment wrapText="1"/>
      <protection/>
    </xf>
    <xf numFmtId="0" fontId="0" fillId="40" borderId="17" xfId="0" applyFill="1" applyBorder="1" applyAlignment="1" applyProtection="1">
      <alignment wrapText="1"/>
      <protection/>
    </xf>
    <xf numFmtId="0" fontId="0" fillId="0" borderId="50" xfId="0" applyFill="1" applyBorder="1" applyAlignment="1" applyProtection="1">
      <alignment wrapText="1"/>
      <protection/>
    </xf>
    <xf numFmtId="0" fontId="0" fillId="0" borderId="39" xfId="0" applyFill="1" applyBorder="1" applyAlignment="1" applyProtection="1">
      <alignment wrapText="1"/>
      <protection/>
    </xf>
    <xf numFmtId="0" fontId="0" fillId="43" borderId="71" xfId="0" applyFill="1" applyBorder="1" applyAlignment="1" applyProtection="1">
      <alignment wrapText="1"/>
      <protection/>
    </xf>
    <xf numFmtId="0" fontId="0" fillId="38" borderId="33" xfId="0" applyFill="1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4" fillId="0" borderId="39" xfId="0" applyFont="1" applyBorder="1" applyAlignment="1" applyProtection="1">
      <alignment wrapText="1"/>
      <protection/>
    </xf>
    <xf numFmtId="0" fontId="0" fillId="0" borderId="37" xfId="0" applyFill="1" applyBorder="1" applyAlignment="1" applyProtection="1">
      <alignment wrapText="1"/>
      <protection/>
    </xf>
    <xf numFmtId="0" fontId="0" fillId="40" borderId="12" xfId="0" applyFill="1" applyBorder="1" applyAlignment="1" applyProtection="1">
      <alignment wrapText="1"/>
      <protection/>
    </xf>
    <xf numFmtId="0" fontId="0" fillId="0" borderId="48" xfId="0" applyFill="1" applyBorder="1" applyAlignment="1" applyProtection="1">
      <alignment wrapText="1"/>
      <protection/>
    </xf>
    <xf numFmtId="0" fontId="0" fillId="40" borderId="55" xfId="0" applyFill="1" applyBorder="1" applyAlignment="1" applyProtection="1">
      <alignment wrapText="1"/>
      <protection/>
    </xf>
    <xf numFmtId="0" fontId="4" fillId="0" borderId="48" xfId="0" applyFont="1" applyFill="1" applyBorder="1" applyAlignment="1" applyProtection="1">
      <alignment wrapText="1"/>
      <protection/>
    </xf>
    <xf numFmtId="0" fontId="14" fillId="37" borderId="85" xfId="0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 quotePrefix="1">
      <alignment wrapText="1"/>
      <protection/>
    </xf>
    <xf numFmtId="0" fontId="14" fillId="0" borderId="36" xfId="0" applyFont="1" applyBorder="1" applyAlignment="1" applyProtection="1">
      <alignment horizontal="center" vertical="top" wrapText="1"/>
      <protection/>
    </xf>
    <xf numFmtId="0" fontId="14" fillId="0" borderId="86" xfId="0" applyFont="1" applyBorder="1" applyAlignment="1" applyProtection="1">
      <alignment horizontal="center" vertical="top" wrapText="1"/>
      <protection/>
    </xf>
    <xf numFmtId="0" fontId="14" fillId="0" borderId="87" xfId="0" applyFont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14" fillId="0" borderId="88" xfId="0" applyFont="1" applyBorder="1" applyAlignment="1" applyProtection="1">
      <alignment horizontal="left" vertical="top" wrapText="1"/>
      <protection/>
    </xf>
    <xf numFmtId="181" fontId="0" fillId="0" borderId="40" xfId="0" applyNumberFormat="1" applyBorder="1" applyAlignment="1" applyProtection="1">
      <alignment wrapText="1"/>
      <protection/>
    </xf>
    <xf numFmtId="187" fontId="14" fillId="0" borderId="18" xfId="0" applyNumberFormat="1" applyFont="1" applyBorder="1" applyAlignment="1" applyProtection="1">
      <alignment horizontal="center" vertical="top" wrapText="1"/>
      <protection/>
    </xf>
    <xf numFmtId="187" fontId="14" fillId="0" borderId="89" xfId="0" applyNumberFormat="1" applyFont="1" applyBorder="1" applyAlignment="1" applyProtection="1">
      <alignment horizontal="center" vertical="top" wrapText="1"/>
      <protection/>
    </xf>
    <xf numFmtId="187" fontId="14" fillId="0" borderId="90" xfId="0" applyNumberFormat="1" applyFont="1" applyBorder="1" applyAlignment="1" applyProtection="1">
      <alignment horizontal="center" wrapText="1"/>
      <protection/>
    </xf>
    <xf numFmtId="187" fontId="14" fillId="0" borderId="18" xfId="0" applyNumberFormat="1" applyFont="1" applyBorder="1" applyAlignment="1" applyProtection="1">
      <alignment horizontal="center" wrapText="1"/>
      <protection/>
    </xf>
    <xf numFmtId="0" fontId="0" fillId="0" borderId="65" xfId="0" applyFill="1" applyBorder="1" applyAlignment="1" applyProtection="1">
      <alignment wrapText="1"/>
      <protection/>
    </xf>
    <xf numFmtId="0" fontId="0" fillId="0" borderId="41" xfId="0" applyFill="1" applyBorder="1" applyAlignment="1" applyProtection="1">
      <alignment wrapText="1"/>
      <protection/>
    </xf>
    <xf numFmtId="181" fontId="0" fillId="0" borderId="44" xfId="0" applyNumberFormat="1" applyBorder="1" applyAlignment="1" applyProtection="1">
      <alignment wrapText="1"/>
      <protection/>
    </xf>
    <xf numFmtId="187" fontId="0" fillId="0" borderId="45" xfId="0" applyNumberFormat="1" applyBorder="1" applyAlignment="1" applyProtection="1">
      <alignment wrapText="1"/>
      <protection/>
    </xf>
    <xf numFmtId="187" fontId="0" fillId="0" borderId="67" xfId="0" applyNumberFormat="1" applyBorder="1" applyAlignment="1" applyProtection="1">
      <alignment wrapText="1"/>
      <protection/>
    </xf>
    <xf numFmtId="187" fontId="0" fillId="0" borderId="46" xfId="0" applyNumberFormat="1" applyBorder="1" applyAlignment="1" applyProtection="1">
      <alignment wrapText="1"/>
      <protection/>
    </xf>
    <xf numFmtId="181" fontId="0" fillId="0" borderId="0" xfId="0" applyNumberFormat="1" applyAlignment="1" applyProtection="1">
      <alignment/>
      <protection/>
    </xf>
    <xf numFmtId="181" fontId="0" fillId="37" borderId="55" xfId="0" applyNumberFormat="1" applyFill="1" applyBorder="1" applyAlignment="1" applyProtection="1">
      <alignment/>
      <protection/>
    </xf>
    <xf numFmtId="187" fontId="0" fillId="36" borderId="55" xfId="0" applyNumberFormat="1" applyFill="1" applyBorder="1" applyAlignment="1" applyProtection="1">
      <alignment/>
      <protection/>
    </xf>
    <xf numFmtId="181" fontId="0" fillId="0" borderId="0" xfId="0" applyNumberFormat="1" applyAlignment="1" applyProtection="1">
      <alignment wrapText="1"/>
      <protection/>
    </xf>
    <xf numFmtId="0" fontId="4" fillId="0" borderId="20" xfId="0" applyFont="1" applyBorder="1" applyAlignment="1" applyProtection="1">
      <alignment wrapText="1"/>
      <protection/>
    </xf>
    <xf numFmtId="0" fontId="14" fillId="0" borderId="91" xfId="0" applyFont="1" applyBorder="1" applyAlignment="1" applyProtection="1">
      <alignment horizontal="center" vertical="top" wrapText="1"/>
      <protection/>
    </xf>
    <xf numFmtId="0" fontId="14" fillId="0" borderId="92" xfId="0" applyFont="1" applyBorder="1" applyAlignment="1" applyProtection="1">
      <alignment horizontal="center" vertical="top" wrapText="1"/>
      <protection/>
    </xf>
    <xf numFmtId="0" fontId="4" fillId="0" borderId="84" xfId="0" applyFont="1" applyBorder="1" applyAlignment="1" applyProtection="1">
      <alignment wrapText="1"/>
      <protection/>
    </xf>
    <xf numFmtId="0" fontId="14" fillId="0" borderId="93" xfId="0" applyFont="1" applyBorder="1" applyAlignment="1" applyProtection="1">
      <alignment horizontal="center" vertical="top" wrapText="1"/>
      <protection/>
    </xf>
    <xf numFmtId="0" fontId="14" fillId="0" borderId="39" xfId="0" applyFont="1" applyBorder="1" applyAlignment="1" applyProtection="1">
      <alignment horizontal="center" vertical="top" wrapText="1"/>
      <protection/>
    </xf>
    <xf numFmtId="181" fontId="0" fillId="0" borderId="74" xfId="0" applyNumberFormat="1" applyBorder="1" applyAlignment="1" applyProtection="1">
      <alignment wrapText="1"/>
      <protection/>
    </xf>
    <xf numFmtId="181" fontId="0" fillId="0" borderId="30" xfId="0" applyNumberFormat="1" applyBorder="1" applyAlignment="1" applyProtection="1">
      <alignment wrapText="1"/>
      <protection/>
    </xf>
    <xf numFmtId="181" fontId="0" fillId="0" borderId="32" xfId="0" applyNumberFormat="1" applyBorder="1" applyAlignment="1" applyProtection="1">
      <alignment wrapText="1"/>
      <protection/>
    </xf>
    <xf numFmtId="187" fontId="0" fillId="43" borderId="24" xfId="0" applyNumberFormat="1" applyFill="1" applyBorder="1" applyAlignment="1" applyProtection="1">
      <alignment wrapText="1"/>
      <protection locked="0"/>
    </xf>
    <xf numFmtId="187" fontId="0" fillId="43" borderId="43" xfId="0" applyNumberFormat="1" applyFill="1" applyBorder="1" applyAlignment="1" applyProtection="1">
      <alignment wrapText="1"/>
      <protection locked="0"/>
    </xf>
    <xf numFmtId="187" fontId="0" fillId="43" borderId="47" xfId="0" applyNumberFormat="1" applyFill="1" applyBorder="1" applyAlignment="1" applyProtection="1">
      <alignment wrapText="1"/>
      <protection locked="0"/>
    </xf>
    <xf numFmtId="0" fontId="38" fillId="43" borderId="94" xfId="0" applyFont="1" applyFill="1" applyBorder="1" applyAlignment="1" applyProtection="1">
      <alignment wrapText="1"/>
      <protection locked="0"/>
    </xf>
    <xf numFmtId="0" fontId="38" fillId="43" borderId="95" xfId="0" applyFont="1" applyFill="1" applyBorder="1" applyAlignment="1" applyProtection="1">
      <alignment wrapText="1"/>
      <protection locked="0"/>
    </xf>
    <xf numFmtId="0" fontId="38" fillId="43" borderId="96" xfId="0" applyFont="1" applyFill="1" applyBorder="1" applyAlignment="1" applyProtection="1">
      <alignment wrapText="1"/>
      <protection locked="0"/>
    </xf>
    <xf numFmtId="0" fontId="38" fillId="43" borderId="42" xfId="0" applyFont="1" applyFill="1" applyBorder="1" applyAlignment="1" applyProtection="1">
      <alignment wrapText="1"/>
      <protection locked="0"/>
    </xf>
    <xf numFmtId="0" fontId="38" fillId="43" borderId="97" xfId="0" applyFont="1" applyFill="1" applyBorder="1" applyAlignment="1" applyProtection="1">
      <alignment wrapText="1"/>
      <protection locked="0"/>
    </xf>
    <xf numFmtId="0" fontId="38" fillId="43" borderId="24" xfId="0" applyFont="1" applyFill="1" applyBorder="1" applyAlignment="1" applyProtection="1">
      <alignment wrapText="1"/>
      <protection locked="0"/>
    </xf>
    <xf numFmtId="0" fontId="38" fillId="43" borderId="43" xfId="0" applyFont="1" applyFill="1" applyBorder="1" applyAlignment="1" applyProtection="1">
      <alignment wrapText="1"/>
      <protection locked="0"/>
    </xf>
    <xf numFmtId="0" fontId="38" fillId="43" borderId="47" xfId="0" applyFont="1" applyFill="1" applyBorder="1" applyAlignment="1" applyProtection="1">
      <alignment wrapText="1"/>
      <protection locked="0"/>
    </xf>
    <xf numFmtId="0" fontId="38" fillId="43" borderId="12" xfId="0" applyFont="1" applyFill="1" applyBorder="1" applyAlignment="1" applyProtection="1">
      <alignment horizontal="left" vertical="top" wrapText="1"/>
      <protection locked="0"/>
    </xf>
    <xf numFmtId="0" fontId="38" fillId="43" borderId="68" xfId="0" applyFont="1" applyFill="1" applyBorder="1" applyAlignment="1" applyProtection="1">
      <alignment horizontal="left" vertical="top" wrapText="1"/>
      <protection locked="0"/>
    </xf>
    <xf numFmtId="0" fontId="38" fillId="43" borderId="47" xfId="0" applyFont="1" applyFill="1" applyBorder="1" applyAlignment="1" applyProtection="1">
      <alignment horizontal="left" vertical="top" wrapText="1"/>
      <protection locked="0"/>
    </xf>
    <xf numFmtId="0" fontId="0" fillId="39" borderId="98" xfId="0" applyFill="1" applyBorder="1" applyAlignment="1" applyProtection="1">
      <alignment/>
      <protection/>
    </xf>
    <xf numFmtId="0" fontId="0" fillId="36" borderId="16" xfId="0" applyFont="1" applyFill="1" applyBorder="1" applyAlignment="1" applyProtection="1">
      <alignment/>
      <protection/>
    </xf>
    <xf numFmtId="0" fontId="0" fillId="36" borderId="3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 vertical="top" wrapText="1"/>
      <protection/>
    </xf>
    <xf numFmtId="0" fontId="0" fillId="0" borderId="21" xfId="0" applyFont="1" applyFill="1" applyBorder="1" applyAlignment="1" applyProtection="1">
      <alignment horizontal="left" vertical="top" wrapText="1"/>
      <protection/>
    </xf>
    <xf numFmtId="0" fontId="0" fillId="0" borderId="22" xfId="0" applyFont="1" applyFill="1" applyBorder="1" applyAlignment="1" applyProtection="1">
      <alignment horizontal="left" vertical="top" wrapText="1"/>
      <protection/>
    </xf>
    <xf numFmtId="0" fontId="10" fillId="36" borderId="17" xfId="0" applyFont="1" applyFill="1" applyBorder="1" applyAlignment="1" applyProtection="1">
      <alignment horizontal="center" wrapText="1"/>
      <protection/>
    </xf>
    <xf numFmtId="0" fontId="10" fillId="36" borderId="62" xfId="0" applyFont="1" applyFill="1" applyBorder="1" applyAlignment="1" applyProtection="1">
      <alignment horizontal="center" wrapText="1"/>
      <protection/>
    </xf>
    <xf numFmtId="0" fontId="0" fillId="0" borderId="74" xfId="0" applyFont="1" applyFill="1" applyBorder="1" applyAlignment="1" applyProtection="1">
      <alignment horizontal="left" vertical="top" wrapText="1"/>
      <protection/>
    </xf>
    <xf numFmtId="0" fontId="0" fillId="0" borderId="30" xfId="0" applyFont="1" applyFill="1" applyBorder="1" applyAlignment="1" applyProtection="1">
      <alignment horizontal="left" vertical="top" wrapText="1"/>
      <protection/>
    </xf>
    <xf numFmtId="0" fontId="0" fillId="0" borderId="78" xfId="0" applyFont="1" applyFill="1" applyBorder="1" applyAlignment="1" applyProtection="1">
      <alignment horizontal="left" vertical="top" wrapText="1"/>
      <protection/>
    </xf>
    <xf numFmtId="0" fontId="0" fillId="0" borderId="75" xfId="0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 applyProtection="1">
      <alignment horizontal="left" vertical="top" wrapText="1"/>
      <protection/>
    </xf>
    <xf numFmtId="0" fontId="0" fillId="0" borderId="54" xfId="0" applyFont="1" applyFill="1" applyBorder="1" applyAlignment="1" applyProtection="1">
      <alignment horizontal="left" vertical="top" wrapText="1"/>
      <protection/>
    </xf>
    <xf numFmtId="0" fontId="43" fillId="0" borderId="17" xfId="0" applyFont="1" applyBorder="1" applyAlignment="1" applyProtection="1">
      <alignment horizontal="center" wrapText="1"/>
      <protection/>
    </xf>
    <xf numFmtId="0" fontId="43" fillId="0" borderId="18" xfId="0" applyFont="1" applyBorder="1" applyAlignment="1" applyProtection="1">
      <alignment horizontal="center" wrapText="1"/>
      <protection/>
    </xf>
    <xf numFmtId="0" fontId="43" fillId="0" borderId="62" xfId="0" applyFont="1" applyBorder="1" applyAlignment="1" applyProtection="1">
      <alignment horizontal="center" wrapText="1"/>
      <protection/>
    </xf>
    <xf numFmtId="0" fontId="46" fillId="0" borderId="0" xfId="0" applyFont="1" applyFill="1" applyBorder="1" applyAlignment="1" applyProtection="1">
      <alignment horizontal="left" vertical="top" wrapText="1"/>
      <protection/>
    </xf>
    <xf numFmtId="0" fontId="0" fillId="0" borderId="75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54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2" fillId="0" borderId="20" xfId="0" applyFont="1" applyFill="1" applyBorder="1" applyAlignment="1" applyProtection="1">
      <alignment horizontal="left" vertical="top" wrapText="1"/>
      <protection/>
    </xf>
    <xf numFmtId="0" fontId="2" fillId="0" borderId="21" xfId="0" applyFont="1" applyFill="1" applyBorder="1" applyAlignment="1" applyProtection="1">
      <alignment horizontal="left" vertical="top" wrapText="1"/>
      <protection/>
    </xf>
    <xf numFmtId="0" fontId="2" fillId="0" borderId="99" xfId="0" applyFont="1" applyFill="1" applyBorder="1" applyAlignment="1" applyProtection="1">
      <alignment horizontal="left" vertical="top" wrapText="1"/>
      <protection/>
    </xf>
    <xf numFmtId="0" fontId="2" fillId="0" borderId="52" xfId="0" applyFont="1" applyFill="1" applyBorder="1" applyAlignment="1" applyProtection="1">
      <alignment horizontal="left" vertical="top"/>
      <protection/>
    </xf>
    <xf numFmtId="0" fontId="2" fillId="0" borderId="73" xfId="0" applyFont="1" applyFill="1" applyBorder="1" applyAlignment="1" applyProtection="1">
      <alignment horizontal="left" vertical="top"/>
      <protection/>
    </xf>
    <xf numFmtId="0" fontId="2" fillId="0" borderId="95" xfId="0" applyFont="1" applyFill="1" applyBorder="1" applyAlignment="1" applyProtection="1">
      <alignment horizontal="left" vertical="top"/>
      <protection/>
    </xf>
    <xf numFmtId="0" fontId="18" fillId="0" borderId="74" xfId="0" applyFont="1" applyBorder="1" applyAlignment="1" applyProtection="1">
      <alignment horizontal="left" vertical="top" wrapText="1"/>
      <protection/>
    </xf>
    <xf numFmtId="0" fontId="18" fillId="0" borderId="30" xfId="0" applyFont="1" applyBorder="1" applyAlignment="1" applyProtection="1">
      <alignment horizontal="left" vertical="top" wrapText="1"/>
      <protection/>
    </xf>
    <xf numFmtId="0" fontId="18" fillId="0" borderId="78" xfId="0" applyFont="1" applyBorder="1" applyAlignment="1" applyProtection="1">
      <alignment horizontal="left" vertical="top" wrapText="1"/>
      <protection/>
    </xf>
    <xf numFmtId="0" fontId="18" fillId="0" borderId="75" xfId="0" applyFont="1" applyFill="1" applyBorder="1" applyAlignment="1" applyProtection="1">
      <alignment horizontal="left" vertical="top" wrapText="1"/>
      <protection/>
    </xf>
    <xf numFmtId="0" fontId="18" fillId="0" borderId="19" xfId="0" applyFont="1" applyFill="1" applyBorder="1" applyAlignment="1" applyProtection="1">
      <alignment horizontal="left" vertical="top" wrapText="1"/>
      <protection/>
    </xf>
    <xf numFmtId="0" fontId="18" fillId="0" borderId="54" xfId="0" applyFont="1" applyFill="1" applyBorder="1" applyAlignment="1" applyProtection="1">
      <alignment horizontal="left" vertical="top" wrapText="1"/>
      <protection/>
    </xf>
    <xf numFmtId="0" fontId="18" fillId="0" borderId="20" xfId="0" applyFont="1" applyFill="1" applyBorder="1" applyAlignment="1" applyProtection="1">
      <alignment horizontal="left" vertical="top" wrapText="1"/>
      <protection/>
    </xf>
    <xf numFmtId="0" fontId="18" fillId="0" borderId="21" xfId="0" applyFont="1" applyFill="1" applyBorder="1" applyAlignment="1" applyProtection="1">
      <alignment horizontal="left" vertical="top" wrapText="1"/>
      <protection/>
    </xf>
    <xf numFmtId="0" fontId="18" fillId="0" borderId="22" xfId="0" applyFont="1" applyFill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left" vertical="top" wrapText="1"/>
      <protection/>
    </xf>
    <xf numFmtId="0" fontId="0" fillId="0" borderId="28" xfId="0" applyFont="1" applyFill="1" applyBorder="1" applyAlignment="1" applyProtection="1">
      <alignment horizontal="left" vertical="top" wrapText="1"/>
      <protection/>
    </xf>
    <xf numFmtId="0" fontId="0" fillId="0" borderId="20" xfId="0" applyFill="1" applyBorder="1" applyAlignment="1" applyProtection="1">
      <alignment horizontal="left" vertical="top" wrapText="1"/>
      <protection/>
    </xf>
    <xf numFmtId="0" fontId="4" fillId="0" borderId="75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9" fontId="3" fillId="43" borderId="19" xfId="0" applyNumberFormat="1" applyFont="1" applyFill="1" applyBorder="1" applyAlignment="1" applyProtection="1">
      <alignment horizontal="left" vertical="top" wrapText="1"/>
      <protection locked="0"/>
    </xf>
    <xf numFmtId="9" fontId="3" fillId="43" borderId="28" xfId="0" applyNumberFormat="1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4" fillId="0" borderId="64" xfId="0" applyFont="1" applyFill="1" applyBorder="1" applyAlignment="1" applyProtection="1">
      <alignment vertical="center" wrapText="1"/>
      <protection/>
    </xf>
    <xf numFmtId="0" fontId="4" fillId="0" borderId="37" xfId="0" applyFont="1" applyFill="1" applyBorder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vertical="center" wrapText="1"/>
      <protection/>
    </xf>
    <xf numFmtId="0" fontId="4" fillId="0" borderId="71" xfId="0" applyFont="1" applyFill="1" applyBorder="1" applyAlignment="1" applyProtection="1">
      <alignment horizontal="left" vertical="top" wrapText="1"/>
      <protection/>
    </xf>
    <xf numFmtId="0" fontId="4" fillId="0" borderId="33" xfId="0" applyFont="1" applyFill="1" applyBorder="1" applyAlignment="1" applyProtection="1">
      <alignment horizontal="left" vertical="top" wrapText="1"/>
      <protection/>
    </xf>
    <xf numFmtId="0" fontId="4" fillId="0" borderId="51" xfId="0" applyFont="1" applyFill="1" applyBorder="1" applyAlignment="1" applyProtection="1">
      <alignment horizontal="left" vertical="top" wrapText="1"/>
      <protection/>
    </xf>
    <xf numFmtId="0" fontId="4" fillId="0" borderId="54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4" fillId="36" borderId="64" xfId="0" applyFont="1" applyFill="1" applyBorder="1" applyAlignment="1" applyProtection="1">
      <alignment horizontal="left" vertical="center" wrapText="1"/>
      <protection/>
    </xf>
    <xf numFmtId="0" fontId="4" fillId="36" borderId="37" xfId="0" applyFont="1" applyFill="1" applyBorder="1" applyAlignment="1" applyProtection="1">
      <alignment horizontal="left" vertical="center" wrapText="1"/>
      <protection/>
    </xf>
    <xf numFmtId="0" fontId="4" fillId="36" borderId="48" xfId="0" applyFont="1" applyFill="1" applyBorder="1" applyAlignment="1" applyProtection="1">
      <alignment horizontal="left" vertical="center" wrapText="1"/>
      <protection/>
    </xf>
    <xf numFmtId="0" fontId="35" fillId="0" borderId="64" xfId="0" applyFont="1" applyBorder="1" applyAlignment="1" applyProtection="1">
      <alignment horizontal="left" vertical="top" wrapText="1" indent="1"/>
      <protection/>
    </xf>
    <xf numFmtId="0" fontId="35" fillId="0" borderId="36" xfId="0" applyFont="1" applyBorder="1" applyAlignment="1" applyProtection="1">
      <alignment horizontal="left" vertical="top" wrapText="1" indent="1"/>
      <protection/>
    </xf>
    <xf numFmtId="0" fontId="35" fillId="0" borderId="38" xfId="0" applyFont="1" applyBorder="1" applyAlignment="1" applyProtection="1">
      <alignment horizontal="left" vertical="top" wrapText="1" indent="1"/>
      <protection/>
    </xf>
    <xf numFmtId="0" fontId="4" fillId="0" borderId="64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48" xfId="0" applyFont="1" applyFill="1" applyBorder="1" applyAlignment="1" applyProtection="1">
      <alignment horizontal="left" vertical="center" wrapText="1"/>
      <protection/>
    </xf>
    <xf numFmtId="0" fontId="45" fillId="0" borderId="17" xfId="0" applyFont="1" applyBorder="1" applyAlignment="1" applyProtection="1">
      <alignment horizontal="center" vertical="top" wrapText="1"/>
      <protection/>
    </xf>
    <xf numFmtId="0" fontId="45" fillId="0" borderId="18" xfId="0" applyFont="1" applyBorder="1" applyAlignment="1" applyProtection="1">
      <alignment horizontal="center" vertical="top" wrapText="1"/>
      <protection/>
    </xf>
    <xf numFmtId="0" fontId="45" fillId="0" borderId="62" xfId="0" applyFont="1" applyBorder="1" applyAlignment="1" applyProtection="1">
      <alignment horizontal="center" vertical="top" wrapText="1"/>
      <protection/>
    </xf>
    <xf numFmtId="0" fontId="4" fillId="0" borderId="74" xfId="0" applyFont="1" applyFill="1" applyBorder="1" applyAlignment="1" applyProtection="1">
      <alignment horizontal="left" vertical="top"/>
      <protection/>
    </xf>
    <xf numFmtId="0" fontId="4" fillId="0" borderId="30" xfId="0" applyFont="1" applyFill="1" applyBorder="1" applyAlignment="1" applyProtection="1">
      <alignment horizontal="left" vertical="top"/>
      <protection/>
    </xf>
    <xf numFmtId="0" fontId="2" fillId="0" borderId="78" xfId="0" applyFont="1" applyFill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 vertical="center" textRotation="90" wrapText="1"/>
      <protection/>
    </xf>
    <xf numFmtId="0" fontId="0" fillId="0" borderId="55" xfId="0" applyFont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4" fillId="36" borderId="14" xfId="0" applyFont="1" applyFill="1" applyBorder="1" applyAlignment="1" applyProtection="1">
      <alignment horizontal="center" wrapText="1"/>
      <protection/>
    </xf>
    <xf numFmtId="0" fontId="30" fillId="43" borderId="17" xfId="0" applyFont="1" applyFill="1" applyBorder="1" applyAlignment="1" applyProtection="1">
      <alignment horizontal="left" vertical="top" wrapText="1"/>
      <protection/>
    </xf>
    <xf numFmtId="0" fontId="30" fillId="43" borderId="18" xfId="0" applyFont="1" applyFill="1" applyBorder="1" applyAlignment="1" applyProtection="1">
      <alignment horizontal="left" vertical="top" wrapText="1"/>
      <protection/>
    </xf>
    <xf numFmtId="0" fontId="30" fillId="43" borderId="62" xfId="0" applyFont="1" applyFill="1" applyBorder="1" applyAlignment="1" applyProtection="1">
      <alignment horizontal="left" vertical="top" wrapText="1"/>
      <protection/>
    </xf>
    <xf numFmtId="0" fontId="4" fillId="0" borderId="81" xfId="0" applyFont="1" applyBorder="1" applyAlignment="1" applyProtection="1">
      <alignment horizontal="center" wrapText="1"/>
      <protection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58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wrapText="1"/>
      <protection/>
    </xf>
    <xf numFmtId="0" fontId="0" fillId="0" borderId="19" xfId="0" applyFill="1" applyBorder="1" applyAlignment="1" applyProtection="1">
      <alignment horizontal="center" wrapText="1"/>
      <protection/>
    </xf>
    <xf numFmtId="0" fontId="4" fillId="0" borderId="59" xfId="0" applyFont="1" applyFill="1" applyBorder="1" applyAlignment="1" applyProtection="1">
      <alignment horizontal="left" vertical="top" wrapText="1"/>
      <protection/>
    </xf>
    <xf numFmtId="0" fontId="4" fillId="0" borderId="81" xfId="0" applyFont="1" applyFill="1" applyBorder="1" applyAlignment="1" applyProtection="1">
      <alignment horizontal="left" vertical="top" wrapText="1"/>
      <protection/>
    </xf>
    <xf numFmtId="187" fontId="0" fillId="33" borderId="78" xfId="0" applyNumberFormat="1" applyFill="1" applyBorder="1" applyAlignment="1" applyProtection="1">
      <alignment horizontal="left" vertical="top" wrapText="1"/>
      <protection/>
    </xf>
    <xf numFmtId="0" fontId="0" fillId="33" borderId="100" xfId="0" applyFill="1" applyBorder="1" applyAlignment="1" applyProtection="1">
      <alignment horizontal="left" vertical="top" wrapText="1"/>
      <protection/>
    </xf>
    <xf numFmtId="0" fontId="0" fillId="33" borderId="42" xfId="0" applyFill="1" applyBorder="1" applyAlignment="1" applyProtection="1">
      <alignment horizontal="left" vertical="top" wrapText="1"/>
      <protection/>
    </xf>
    <xf numFmtId="0" fontId="30" fillId="43" borderId="17" xfId="0" applyNumberFormat="1" applyFont="1" applyFill="1" applyBorder="1" applyAlignment="1" applyProtection="1">
      <alignment horizontal="left" vertical="top" wrapText="1"/>
      <protection/>
    </xf>
    <xf numFmtId="0" fontId="30" fillId="43" borderId="18" xfId="0" applyNumberFormat="1" applyFont="1" applyFill="1" applyBorder="1" applyAlignment="1" applyProtection="1">
      <alignment horizontal="left" vertical="top" wrapText="1"/>
      <protection/>
    </xf>
    <xf numFmtId="0" fontId="30" fillId="43" borderId="62" xfId="0" applyNumberFormat="1" applyFont="1" applyFill="1" applyBorder="1" applyAlignment="1" applyProtection="1">
      <alignment horizontal="left" vertical="top" wrapText="1"/>
      <protection/>
    </xf>
    <xf numFmtId="0" fontId="0" fillId="39" borderId="29" xfId="0" applyFill="1" applyBorder="1" applyAlignment="1" applyProtection="1">
      <alignment horizontal="center" wrapText="1"/>
      <protection/>
    </xf>
    <xf numFmtId="0" fontId="0" fillId="39" borderId="19" xfId="0" applyFill="1" applyBorder="1" applyAlignment="1" applyProtection="1">
      <alignment horizontal="center" wrapText="1"/>
      <protection/>
    </xf>
    <xf numFmtId="0" fontId="0" fillId="0" borderId="27" xfId="0" applyFill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 horizontal="center" vertical="center" textRotation="90" wrapText="1"/>
      <protection/>
    </xf>
    <xf numFmtId="0" fontId="0" fillId="0" borderId="64" xfId="0" applyFont="1" applyBorder="1" applyAlignment="1" applyProtection="1">
      <alignment horizontal="center" vertical="center" textRotation="90" wrapText="1"/>
      <protection/>
    </xf>
    <xf numFmtId="0" fontId="0" fillId="0" borderId="48" xfId="0" applyFont="1" applyBorder="1" applyAlignment="1" applyProtection="1">
      <alignment horizontal="center" vertical="center" textRotation="90" wrapText="1"/>
      <protection/>
    </xf>
    <xf numFmtId="0" fontId="4" fillId="0" borderId="73" xfId="0" applyFont="1" applyFill="1" applyBorder="1" applyAlignment="1" applyProtection="1">
      <alignment horizontal="left" vertical="top" wrapText="1"/>
      <protection/>
    </xf>
    <xf numFmtId="0" fontId="4" fillId="0" borderId="26" xfId="0" applyFont="1" applyFill="1" applyBorder="1" applyAlignment="1" applyProtection="1">
      <alignment horizontal="left" vertical="top" wrapText="1"/>
      <protection/>
    </xf>
    <xf numFmtId="187" fontId="24" fillId="33" borderId="21" xfId="0" applyNumberFormat="1" applyFont="1" applyFill="1" applyBorder="1" applyAlignment="1" applyProtection="1">
      <alignment horizontal="left" vertical="top" wrapText="1"/>
      <protection/>
    </xf>
    <xf numFmtId="187" fontId="24" fillId="33" borderId="23" xfId="0" applyNumberFormat="1" applyFont="1" applyFill="1" applyBorder="1" applyAlignment="1" applyProtection="1">
      <alignment horizontal="left" vertical="top" wrapText="1"/>
      <protection/>
    </xf>
    <xf numFmtId="0" fontId="0" fillId="40" borderId="64" xfId="0" applyFont="1" applyFill="1" applyBorder="1" applyAlignment="1" applyProtection="1">
      <alignment horizontal="center" vertical="center" textRotation="90" wrapText="1"/>
      <protection/>
    </xf>
    <xf numFmtId="0" fontId="0" fillId="40" borderId="37" xfId="0" applyFont="1" applyFill="1" applyBorder="1" applyAlignment="1" applyProtection="1">
      <alignment horizontal="center" vertical="center" textRotation="90" wrapText="1"/>
      <protection/>
    </xf>
    <xf numFmtId="0" fontId="0" fillId="40" borderId="48" xfId="0" applyFont="1" applyFill="1" applyBorder="1" applyAlignment="1" applyProtection="1">
      <alignment horizontal="center" vertical="center" textRotation="90" wrapText="1"/>
      <protection/>
    </xf>
    <xf numFmtId="0" fontId="3" fillId="43" borderId="74" xfId="0" applyFont="1" applyFill="1" applyBorder="1" applyAlignment="1" applyProtection="1">
      <alignment horizontal="left" vertical="top" wrapText="1"/>
      <protection locked="0"/>
    </xf>
    <xf numFmtId="0" fontId="3" fillId="43" borderId="32" xfId="0" applyFont="1" applyFill="1" applyBorder="1" applyAlignment="1" applyProtection="1">
      <alignment horizontal="left" vertical="top" wrapText="1"/>
      <protection locked="0"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 horizontal="left" wrapText="1"/>
      <protection/>
    </xf>
    <xf numFmtId="0" fontId="4" fillId="0" borderId="53" xfId="0" applyFont="1" applyFill="1" applyBorder="1" applyAlignment="1" applyProtection="1">
      <alignment horizontal="left" vertical="top" wrapText="1"/>
      <protection/>
    </xf>
    <xf numFmtId="0" fontId="4" fillId="0" borderId="100" xfId="0" applyFont="1" applyFill="1" applyBorder="1" applyAlignment="1" applyProtection="1">
      <alignment horizontal="left" vertical="top" wrapText="1"/>
      <protection/>
    </xf>
    <xf numFmtId="0" fontId="4" fillId="0" borderId="42" xfId="0" applyFont="1" applyFill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0" fillId="36" borderId="37" xfId="0" applyFont="1" applyFill="1" applyBorder="1" applyAlignment="1" applyProtection="1">
      <alignment horizontal="center" vertical="center" textRotation="90" wrapText="1"/>
      <protection/>
    </xf>
    <xf numFmtId="0" fontId="3" fillId="43" borderId="71" xfId="0" applyNumberFormat="1" applyFont="1" applyFill="1" applyBorder="1" applyAlignment="1" applyProtection="1">
      <alignment horizontal="left" vertical="top" wrapText="1"/>
      <protection locked="0"/>
    </xf>
    <xf numFmtId="0" fontId="3" fillId="43" borderId="35" xfId="0" applyNumberFormat="1" applyFont="1" applyFill="1" applyBorder="1" applyAlignment="1" applyProtection="1">
      <alignment horizontal="left" vertical="top" wrapText="1"/>
      <protection locked="0"/>
    </xf>
    <xf numFmtId="0" fontId="3" fillId="43" borderId="40" xfId="0" applyFont="1" applyFill="1" applyBorder="1" applyAlignment="1" applyProtection="1">
      <alignment horizontal="left" vertical="top" wrapText="1"/>
      <protection locked="0"/>
    </xf>
    <xf numFmtId="0" fontId="3" fillId="43" borderId="41" xfId="0" applyFont="1" applyFill="1" applyBorder="1" applyAlignment="1" applyProtection="1">
      <alignment horizontal="left" vertical="top" wrapText="1"/>
      <protection locked="0"/>
    </xf>
    <xf numFmtId="0" fontId="39" fillId="0" borderId="52" xfId="0" applyFont="1" applyFill="1" applyBorder="1" applyAlignment="1" applyProtection="1">
      <alignment horizontal="left" vertical="top" wrapText="1"/>
      <protection/>
    </xf>
    <xf numFmtId="0" fontId="39" fillId="0" borderId="73" xfId="0" applyFont="1" applyFill="1" applyBorder="1" applyAlignment="1" applyProtection="1">
      <alignment horizontal="left" vertical="top" wrapText="1"/>
      <protection/>
    </xf>
    <xf numFmtId="0" fontId="39" fillId="0" borderId="10" xfId="0" applyFont="1" applyFill="1" applyBorder="1" applyAlignment="1" applyProtection="1">
      <alignment horizontal="left" vertical="top" wrapText="1"/>
      <protection/>
    </xf>
    <xf numFmtId="0" fontId="39" fillId="0" borderId="26" xfId="0" applyFont="1" applyFill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0" fillId="36" borderId="64" xfId="0" applyFont="1" applyFill="1" applyBorder="1" applyAlignment="1" applyProtection="1">
      <alignment horizontal="center" vertical="center" textRotation="90" wrapText="1"/>
      <protection/>
    </xf>
    <xf numFmtId="0" fontId="0" fillId="36" borderId="48" xfId="0" applyFont="1" applyFill="1" applyBorder="1" applyAlignment="1" applyProtection="1">
      <alignment horizontal="center" vertical="center" textRotation="90" wrapText="1"/>
      <protection/>
    </xf>
    <xf numFmtId="0" fontId="0" fillId="39" borderId="64" xfId="0" applyFont="1" applyFill="1" applyBorder="1" applyAlignment="1" applyProtection="1">
      <alignment horizontal="center" vertical="center" textRotation="90" wrapText="1"/>
      <protection/>
    </xf>
    <xf numFmtId="0" fontId="0" fillId="39" borderId="37" xfId="0" applyFont="1" applyFill="1" applyBorder="1" applyAlignment="1" applyProtection="1">
      <alignment horizontal="center" vertical="center" textRotation="90" wrapText="1"/>
      <protection/>
    </xf>
    <xf numFmtId="0" fontId="0" fillId="39" borderId="48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0" fontId="12" fillId="37" borderId="37" xfId="0" applyFont="1" applyFill="1" applyBorder="1" applyAlignment="1" applyProtection="1">
      <alignment horizontal="center"/>
      <protection/>
    </xf>
    <xf numFmtId="0" fontId="12" fillId="37" borderId="48" xfId="0" applyFont="1" applyFill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3" fillId="0" borderId="55" xfId="0" applyFont="1" applyBorder="1" applyAlignment="1" applyProtection="1">
      <alignment horizontal="center" vertical="top" wrapText="1"/>
      <protection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23" xfId="0" applyFont="1" applyBorder="1" applyAlignment="1" applyProtection="1">
      <alignment wrapText="1"/>
      <protection/>
    </xf>
    <xf numFmtId="0" fontId="4" fillId="0" borderId="19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99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4" fillId="0" borderId="73" xfId="0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5" fillId="44" borderId="14" xfId="0" applyFont="1" applyFill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44" borderId="13" xfId="0" applyFont="1" applyFill="1" applyBorder="1" applyAlignment="1" applyProtection="1">
      <alignment horizontal="center" wrapText="1"/>
      <protection/>
    </xf>
    <xf numFmtId="0" fontId="5" fillId="0" borderId="75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94" xfId="0" applyFill="1" applyBorder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horizontal="center" wrapText="1"/>
      <protection/>
    </xf>
    <xf numFmtId="0" fontId="0" fillId="0" borderId="62" xfId="0" applyFill="1" applyBorder="1" applyAlignment="1" applyProtection="1">
      <alignment horizontal="center" wrapText="1"/>
      <protection/>
    </xf>
    <xf numFmtId="0" fontId="4" fillId="0" borderId="54" xfId="0" applyFont="1" applyBorder="1" applyAlignment="1" applyProtection="1">
      <alignment horizontal="center" wrapText="1"/>
      <protection/>
    </xf>
    <xf numFmtId="0" fontId="33" fillId="0" borderId="0" xfId="0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36" fillId="0" borderId="49" xfId="0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зрабо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6">
    <dxf>
      <font>
        <color indexed="47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CC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623"/>
  <sheetViews>
    <sheetView showGridLines="0" tabSelected="1" zoomScale="70" zoomScaleNormal="70" workbookViewId="0" topLeftCell="A1">
      <selection activeCell="F9" sqref="F9"/>
    </sheetView>
  </sheetViews>
  <sheetFormatPr defaultColWidth="0" defaultRowHeight="12.75"/>
  <cols>
    <col min="1" max="1" width="1.12109375" style="3" customWidth="1"/>
    <col min="2" max="2" width="25.375" style="3" customWidth="1"/>
    <col min="3" max="3" width="83.00390625" style="3" customWidth="1"/>
    <col min="4" max="4" width="10.25390625" style="3" customWidth="1"/>
    <col min="5" max="5" width="4.125" style="3" customWidth="1"/>
    <col min="6" max="6" width="25.125" style="3" customWidth="1"/>
    <col min="7" max="7" width="24.00390625" style="3" customWidth="1"/>
    <col min="8" max="8" width="10.00390625" style="3" customWidth="1"/>
    <col min="9" max="9" width="20.25390625" style="3" customWidth="1"/>
    <col min="10" max="10" width="2.25390625" style="3" customWidth="1"/>
    <col min="11" max="12" width="1.00390625" style="3" hidden="1" customWidth="1"/>
    <col min="13" max="13" width="1.00390625" style="4" hidden="1" customWidth="1"/>
    <col min="14" max="14" width="1.00390625" style="5" hidden="1" customWidth="1"/>
    <col min="15" max="15" width="9.625" style="5" hidden="1" customWidth="1"/>
    <col min="16" max="16" width="7.375" style="5" hidden="1" customWidth="1"/>
    <col min="17" max="17" width="6.625" style="5" hidden="1" customWidth="1"/>
    <col min="18" max="18" width="4.00390625" style="5" hidden="1" customWidth="1"/>
    <col min="19" max="19" width="4.75390625" style="5" hidden="1" customWidth="1"/>
    <col min="20" max="20" width="3.75390625" style="5" hidden="1" customWidth="1"/>
    <col min="21" max="21" width="6.00390625" style="5" hidden="1" customWidth="1"/>
    <col min="22" max="22" width="3.75390625" style="5" hidden="1" customWidth="1"/>
    <col min="23" max="23" width="6.25390625" style="5" hidden="1" customWidth="1"/>
    <col min="24" max="24" width="3.75390625" style="5" hidden="1" customWidth="1"/>
    <col min="25" max="25" width="8.25390625" style="5" hidden="1" customWidth="1"/>
    <col min="26" max="26" width="10.625" style="5" hidden="1" customWidth="1"/>
    <col min="27" max="27" width="7.25390625" style="5" hidden="1" customWidth="1"/>
    <col min="28" max="28" width="11.75390625" style="5" hidden="1" customWidth="1"/>
    <col min="29" max="29" width="10.25390625" style="5" hidden="1" customWidth="1"/>
    <col min="30" max="30" width="17.00390625" style="5" hidden="1" customWidth="1"/>
    <col min="31" max="31" width="20.875" style="5" hidden="1" customWidth="1"/>
    <col min="32" max="46" width="3.75390625" style="5" hidden="1" customWidth="1"/>
    <col min="47" max="47" width="5.25390625" style="5" hidden="1" customWidth="1"/>
    <col min="48" max="63" width="1.00390625" style="5" hidden="1" customWidth="1"/>
    <col min="64" max="88" width="1.00390625" style="3" hidden="1" customWidth="1"/>
    <col min="89" max="89" width="1.25" style="3" hidden="1" customWidth="1"/>
    <col min="90" max="90" width="1.25" style="6" hidden="1" customWidth="1"/>
    <col min="91" max="91" width="1.75390625" style="5" hidden="1" customWidth="1"/>
    <col min="92" max="92" width="7.625" style="7" hidden="1" customWidth="1"/>
    <col min="93" max="93" width="34.625" style="7" hidden="1" customWidth="1"/>
    <col min="94" max="94" width="6.875" style="7" hidden="1" customWidth="1"/>
    <col min="95" max="95" width="3.375" style="8" hidden="1" customWidth="1"/>
    <col min="96" max="96" width="8.875" style="3" hidden="1" customWidth="1"/>
    <col min="97" max="97" width="10.25390625" style="3" hidden="1" customWidth="1"/>
    <col min="98" max="98" width="7.125" style="3" hidden="1" customWidth="1"/>
    <col min="99" max="99" width="8.125" style="3" hidden="1" customWidth="1"/>
    <col min="100" max="100" width="8.625" style="3" hidden="1" customWidth="1"/>
    <col min="101" max="101" width="7.25390625" style="3" hidden="1" customWidth="1"/>
    <col min="102" max="102" width="8.625" style="3" hidden="1" customWidth="1"/>
    <col min="103" max="103" width="19.75390625" style="3" hidden="1" customWidth="1"/>
    <col min="104" max="104" width="21.125" style="3" hidden="1" customWidth="1"/>
    <col min="105" max="105" width="13.875" style="3" hidden="1" customWidth="1"/>
    <col min="106" max="106" width="9.375" style="3" hidden="1" customWidth="1"/>
    <col min="107" max="107" width="7.625" style="5" hidden="1" customWidth="1"/>
    <col min="108" max="108" width="13.875" style="3" hidden="1" customWidth="1"/>
    <col min="109" max="109" width="11.00390625" style="3" hidden="1" customWidth="1"/>
    <col min="110" max="110" width="17.375" style="3" hidden="1" customWidth="1"/>
    <col min="111" max="111" width="18.625" style="3" hidden="1" customWidth="1"/>
    <col min="112" max="112" width="7.25390625" style="5" hidden="1" customWidth="1"/>
    <col min="113" max="113" width="8.75390625" style="3" hidden="1" customWidth="1"/>
    <col min="114" max="115" width="6.375" style="3" hidden="1" customWidth="1"/>
    <col min="116" max="116" width="6.00390625" style="3" hidden="1" customWidth="1"/>
    <col min="117" max="118" width="7.625" style="3" hidden="1" customWidth="1"/>
    <col min="119" max="119" width="6.375" style="3" hidden="1" customWidth="1"/>
    <col min="120" max="120" width="6.00390625" style="3" hidden="1" customWidth="1"/>
    <col min="121" max="121" width="11.75390625" style="3" hidden="1" customWidth="1"/>
    <col min="122" max="122" width="11.25390625" style="3" hidden="1" customWidth="1"/>
    <col min="123" max="123" width="9.375" style="3" hidden="1" customWidth="1"/>
    <col min="124" max="124" width="4.375" style="3" hidden="1" customWidth="1"/>
    <col min="125" max="125" width="5.875" style="3" hidden="1" customWidth="1"/>
    <col min="126" max="126" width="6.125" style="3" hidden="1" customWidth="1"/>
    <col min="127" max="127" width="18.00390625" style="3" hidden="1" customWidth="1"/>
    <col min="128" max="128" width="2.375" style="9" hidden="1" customWidth="1"/>
    <col min="129" max="16384" width="0" style="3" hidden="1" customWidth="1"/>
  </cols>
  <sheetData>
    <row r="1" ht="15" thickBot="1"/>
    <row r="2" spans="2:7" ht="48.75" customHeight="1" thickBot="1">
      <c r="B2" s="490" t="s">
        <v>251</v>
      </c>
      <c r="C2" s="491"/>
      <c r="D2" s="491"/>
      <c r="E2" s="491"/>
      <c r="F2" s="491"/>
      <c r="G2" s="492"/>
    </row>
    <row r="3" spans="2:9" ht="9" customHeight="1">
      <c r="B3" s="10"/>
      <c r="C3" s="10"/>
      <c r="D3" s="10"/>
      <c r="E3" s="10"/>
      <c r="F3" s="10"/>
      <c r="G3" s="10"/>
      <c r="H3" s="10"/>
      <c r="I3" s="10"/>
    </row>
    <row r="4" spans="1:10" ht="40.5" customHeight="1" thickBot="1">
      <c r="A4" s="10"/>
      <c r="B4" s="643" t="s">
        <v>214</v>
      </c>
      <c r="C4" s="643"/>
      <c r="D4" s="643"/>
      <c r="E4" s="643"/>
      <c r="F4" s="643"/>
      <c r="G4" s="643"/>
      <c r="H4" s="11"/>
      <c r="I4" s="11"/>
      <c r="J4" s="10"/>
    </row>
    <row r="5" spans="2:31" ht="35.25" customHeight="1" thickBot="1">
      <c r="B5" s="538"/>
      <c r="C5" s="539"/>
      <c r="D5" s="539"/>
      <c r="E5" s="540"/>
      <c r="F5" s="12" t="s">
        <v>248</v>
      </c>
      <c r="G5" s="12" t="s">
        <v>249</v>
      </c>
      <c r="I5" s="13"/>
      <c r="U5" s="14">
        <v>0</v>
      </c>
      <c r="V5" s="15">
        <v>1</v>
      </c>
      <c r="W5" s="16">
        <v>2</v>
      </c>
      <c r="X5" s="17">
        <v>3</v>
      </c>
      <c r="Y5" s="18" t="s">
        <v>201</v>
      </c>
      <c r="Z5" s="19" t="s">
        <v>203</v>
      </c>
      <c r="AA5" s="20" t="s">
        <v>202</v>
      </c>
      <c r="AB5" s="21"/>
      <c r="AC5" s="22" t="s">
        <v>205</v>
      </c>
      <c r="AD5" s="23" t="s">
        <v>207</v>
      </c>
      <c r="AE5" s="24" t="s">
        <v>206</v>
      </c>
    </row>
    <row r="6" spans="2:81" ht="15" customHeight="1" thickBot="1">
      <c r="B6" s="541" t="s">
        <v>68</v>
      </c>
      <c r="C6" s="497" t="s">
        <v>29</v>
      </c>
      <c r="D6" s="498"/>
      <c r="E6" s="499"/>
      <c r="F6" s="462"/>
      <c r="G6" s="462"/>
      <c r="H6" s="25">
        <f>IF(AND(F6&gt;G6,G6&lt;&gt;O6,G6&gt;0,F6&lt;&gt;O6),"Ошибка!","")</f>
      </c>
      <c r="I6" s="26">
        <f>IF(AND(G6&gt;0,F6=O6),"Укажите Страх. Сумму!","")</f>
      </c>
      <c r="O6" s="27"/>
      <c r="Q6" s="550" t="s">
        <v>68</v>
      </c>
      <c r="R6" s="28">
        <f>AU138</f>
        <v>0</v>
      </c>
      <c r="S6" s="29">
        <f>AU160</f>
        <v>0</v>
      </c>
      <c r="T6" s="30">
        <f>AU183</f>
        <v>0</v>
      </c>
      <c r="U6" s="31">
        <f>IF($AC$61=$R$24,0,0)</f>
        <v>0</v>
      </c>
      <c r="V6" s="32">
        <f>IF($AC$58=$R$25,R6,0)</f>
        <v>0</v>
      </c>
      <c r="W6" s="32">
        <f aca="true" t="shared" si="0" ref="W6:W19">IF($AC$59=$R$26,S6,0)</f>
        <v>0</v>
      </c>
      <c r="X6" s="33">
        <f aca="true" t="shared" si="1" ref="X6:X19">IF($AC$60=$R$27,T6,0)</f>
        <v>0</v>
      </c>
      <c r="Y6" s="34">
        <f aca="true" t="shared" si="2" ref="Y6:Y19">MAX(U6:X6)</f>
        <v>0</v>
      </c>
      <c r="Z6" s="35">
        <f aca="true" t="shared" si="3" ref="Z6:Z19">IF(G6=$Z$20,1,F6/G6)</f>
        <v>1</v>
      </c>
      <c r="AA6" s="36">
        <f>T249</f>
        <v>1</v>
      </c>
      <c r="AB6" s="37">
        <f aca="true" t="shared" si="4" ref="AB6:AB19">Y6+$Z$24</f>
        <v>0</v>
      </c>
      <c r="AC6" s="38">
        <f>IF(Y6&gt;0,AB6,0)</f>
        <v>0</v>
      </c>
      <c r="AD6" s="39">
        <f>AC6*$Z$25*$Z$26*$Z$27*$Z$28*AA6</f>
        <v>0</v>
      </c>
      <c r="AE6" s="40">
        <f aca="true" t="shared" si="5" ref="AE6:AE19">F6*AD6/100</f>
        <v>0</v>
      </c>
      <c r="AF6" s="35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3"/>
      <c r="CC6" s="10"/>
    </row>
    <row r="7" spans="2:81" ht="15" customHeight="1" thickBot="1">
      <c r="B7" s="542"/>
      <c r="C7" s="494" t="s">
        <v>30</v>
      </c>
      <c r="D7" s="495"/>
      <c r="E7" s="496"/>
      <c r="F7" s="463"/>
      <c r="G7" s="463"/>
      <c r="H7" s="25">
        <f aca="true" t="shared" si="6" ref="H7:H19">IF(AND(F7&gt;G7,G7&lt;&gt;O7,G7&gt;0,F7&lt;&gt;O7),"Ошибка!","")</f>
      </c>
      <c r="I7" s="26">
        <f aca="true" t="shared" si="7" ref="I7:I19">IF(AND(G7&gt;0,F7=O7),"Укажите Страх. Сумму!","")</f>
      </c>
      <c r="O7" s="27"/>
      <c r="Q7" s="551"/>
      <c r="R7" s="28">
        <f aca="true" t="shared" si="8" ref="R7:R18">AU139</f>
        <v>0</v>
      </c>
      <c r="S7" s="29">
        <f aca="true" t="shared" si="9" ref="S7:S19">AU161</f>
        <v>0</v>
      </c>
      <c r="T7" s="30">
        <f aca="true" t="shared" si="10" ref="T7:T19">AU184</f>
        <v>0</v>
      </c>
      <c r="U7" s="31">
        <f aca="true" t="shared" si="11" ref="U7:U19">IF($AC$61=$R$24,0,0)</f>
        <v>0</v>
      </c>
      <c r="V7" s="27">
        <f aca="true" t="shared" si="12" ref="V7:V19">IF($AC$58=$R$25,R7,0)</f>
        <v>0</v>
      </c>
      <c r="W7" s="32">
        <f t="shared" si="0"/>
        <v>0</v>
      </c>
      <c r="X7" s="33">
        <f t="shared" si="1"/>
        <v>0</v>
      </c>
      <c r="Y7" s="34">
        <f t="shared" si="2"/>
        <v>0</v>
      </c>
      <c r="Z7" s="35">
        <f t="shared" si="3"/>
        <v>1</v>
      </c>
      <c r="AA7" s="36">
        <f aca="true" t="shared" si="13" ref="AA7:AA19">T250</f>
        <v>1</v>
      </c>
      <c r="AB7" s="37">
        <f t="shared" si="4"/>
        <v>0</v>
      </c>
      <c r="AC7" s="38">
        <f aca="true" t="shared" si="14" ref="AC7:AC19">IF(Y7&gt;0,AB7,0)</f>
        <v>0</v>
      </c>
      <c r="AD7" s="39">
        <f aca="true" t="shared" si="15" ref="AD7:AD19">AC7*$Z$25*$Z$26*$Z$27*$Z$28*AA7</f>
        <v>0</v>
      </c>
      <c r="AE7" s="40">
        <f t="shared" si="5"/>
        <v>0</v>
      </c>
      <c r="AF7" s="41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42"/>
      <c r="CC7" s="43"/>
    </row>
    <row r="8" spans="2:81" ht="15" customHeight="1" thickBot="1">
      <c r="B8" s="542"/>
      <c r="C8" s="487" t="s">
        <v>31</v>
      </c>
      <c r="D8" s="488"/>
      <c r="E8" s="489"/>
      <c r="F8" s="463"/>
      <c r="G8" s="463"/>
      <c r="H8" s="25">
        <f t="shared" si="6"/>
      </c>
      <c r="I8" s="26">
        <f t="shared" si="7"/>
      </c>
      <c r="O8" s="27"/>
      <c r="Q8" s="551"/>
      <c r="R8" s="28">
        <f t="shared" si="8"/>
        <v>0</v>
      </c>
      <c r="S8" s="29">
        <f t="shared" si="9"/>
        <v>0</v>
      </c>
      <c r="T8" s="30">
        <f t="shared" si="10"/>
        <v>0</v>
      </c>
      <c r="U8" s="31">
        <f t="shared" si="11"/>
        <v>0</v>
      </c>
      <c r="V8" s="27">
        <f t="shared" si="12"/>
        <v>0</v>
      </c>
      <c r="W8" s="32">
        <f t="shared" si="0"/>
        <v>0</v>
      </c>
      <c r="X8" s="33">
        <f t="shared" si="1"/>
        <v>0</v>
      </c>
      <c r="Y8" s="34">
        <f t="shared" si="2"/>
        <v>0</v>
      </c>
      <c r="Z8" s="35">
        <f t="shared" si="3"/>
        <v>1</v>
      </c>
      <c r="AA8" s="36">
        <f t="shared" si="13"/>
        <v>1</v>
      </c>
      <c r="AB8" s="37">
        <f t="shared" si="4"/>
        <v>0</v>
      </c>
      <c r="AC8" s="38">
        <f t="shared" si="14"/>
        <v>0</v>
      </c>
      <c r="AD8" s="39">
        <f t="shared" si="15"/>
        <v>0</v>
      </c>
      <c r="AE8" s="40">
        <f t="shared" si="5"/>
        <v>0</v>
      </c>
      <c r="AF8" s="41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42"/>
      <c r="CC8" s="43"/>
    </row>
    <row r="9" spans="2:81" ht="15" customHeight="1" thickBot="1">
      <c r="B9" s="542"/>
      <c r="C9" s="487" t="s">
        <v>32</v>
      </c>
      <c r="D9" s="488"/>
      <c r="E9" s="489"/>
      <c r="F9" s="463"/>
      <c r="G9" s="463"/>
      <c r="H9" s="25">
        <f t="shared" si="6"/>
      </c>
      <c r="I9" s="26">
        <f t="shared" si="7"/>
      </c>
      <c r="O9" s="27"/>
      <c r="Q9" s="551"/>
      <c r="R9" s="28">
        <f t="shared" si="8"/>
        <v>0</v>
      </c>
      <c r="S9" s="29">
        <f t="shared" si="9"/>
        <v>0</v>
      </c>
      <c r="T9" s="30">
        <f t="shared" si="10"/>
        <v>0</v>
      </c>
      <c r="U9" s="31">
        <f t="shared" si="11"/>
        <v>0</v>
      </c>
      <c r="V9" s="27">
        <f t="shared" si="12"/>
        <v>0</v>
      </c>
      <c r="W9" s="32">
        <f t="shared" si="0"/>
        <v>0</v>
      </c>
      <c r="X9" s="33">
        <f t="shared" si="1"/>
        <v>0</v>
      </c>
      <c r="Y9" s="34">
        <f t="shared" si="2"/>
        <v>0</v>
      </c>
      <c r="Z9" s="35">
        <f t="shared" si="3"/>
        <v>1</v>
      </c>
      <c r="AA9" s="36">
        <f t="shared" si="13"/>
        <v>1</v>
      </c>
      <c r="AB9" s="37">
        <f t="shared" si="4"/>
        <v>0</v>
      </c>
      <c r="AC9" s="38">
        <f t="shared" si="14"/>
        <v>0</v>
      </c>
      <c r="AD9" s="39">
        <f t="shared" si="15"/>
        <v>0</v>
      </c>
      <c r="AE9" s="40">
        <f t="shared" si="5"/>
        <v>0</v>
      </c>
      <c r="AF9" s="41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42"/>
      <c r="CC9" s="43"/>
    </row>
    <row r="10" spans="2:81" ht="15" customHeight="1" thickBot="1">
      <c r="B10" s="542"/>
      <c r="C10" s="487" t="s">
        <v>33</v>
      </c>
      <c r="D10" s="488"/>
      <c r="E10" s="489"/>
      <c r="F10" s="463"/>
      <c r="G10" s="463"/>
      <c r="H10" s="25">
        <f t="shared" si="6"/>
      </c>
      <c r="I10" s="26">
        <f t="shared" si="7"/>
      </c>
      <c r="O10" s="27"/>
      <c r="Q10" s="551"/>
      <c r="R10" s="28">
        <f t="shared" si="8"/>
        <v>0</v>
      </c>
      <c r="S10" s="29">
        <f t="shared" si="9"/>
        <v>0</v>
      </c>
      <c r="T10" s="30">
        <f t="shared" si="10"/>
        <v>0</v>
      </c>
      <c r="U10" s="31">
        <f t="shared" si="11"/>
        <v>0</v>
      </c>
      <c r="V10" s="27">
        <f t="shared" si="12"/>
        <v>0</v>
      </c>
      <c r="W10" s="32">
        <f t="shared" si="0"/>
        <v>0</v>
      </c>
      <c r="X10" s="33">
        <f t="shared" si="1"/>
        <v>0</v>
      </c>
      <c r="Y10" s="34">
        <f t="shared" si="2"/>
        <v>0</v>
      </c>
      <c r="Z10" s="35">
        <f t="shared" si="3"/>
        <v>1</v>
      </c>
      <c r="AA10" s="36">
        <f t="shared" si="13"/>
        <v>1</v>
      </c>
      <c r="AB10" s="37">
        <f t="shared" si="4"/>
        <v>0</v>
      </c>
      <c r="AC10" s="38">
        <f t="shared" si="14"/>
        <v>0</v>
      </c>
      <c r="AD10" s="39">
        <f>AC10*$Z$26*$Z$27*$Z$28*AA10*Z25+W59</f>
        <v>0</v>
      </c>
      <c r="AE10" s="40">
        <f>F10*AD10/100</f>
        <v>0</v>
      </c>
      <c r="AF10" s="41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42"/>
      <c r="CC10" s="43"/>
    </row>
    <row r="11" spans="2:81" ht="15" customHeight="1" thickBot="1">
      <c r="B11" s="543"/>
      <c r="C11" s="484" t="s">
        <v>34</v>
      </c>
      <c r="D11" s="485"/>
      <c r="E11" s="486"/>
      <c r="F11" s="464"/>
      <c r="G11" s="464"/>
      <c r="H11" s="25">
        <f t="shared" si="6"/>
      </c>
      <c r="I11" s="26">
        <f t="shared" si="7"/>
      </c>
      <c r="O11" s="27"/>
      <c r="Q11" s="552"/>
      <c r="R11" s="28">
        <f t="shared" si="8"/>
        <v>0</v>
      </c>
      <c r="S11" s="29">
        <f t="shared" si="9"/>
        <v>0</v>
      </c>
      <c r="T11" s="30">
        <f>AU188</f>
        <v>0</v>
      </c>
      <c r="U11" s="31">
        <f t="shared" si="11"/>
        <v>0</v>
      </c>
      <c r="V11" s="44">
        <f t="shared" si="12"/>
        <v>0</v>
      </c>
      <c r="W11" s="32">
        <f t="shared" si="0"/>
        <v>0</v>
      </c>
      <c r="X11" s="33">
        <f t="shared" si="1"/>
        <v>0</v>
      </c>
      <c r="Y11" s="34">
        <f t="shared" si="2"/>
        <v>0</v>
      </c>
      <c r="Z11" s="35">
        <f t="shared" si="3"/>
        <v>1</v>
      </c>
      <c r="AA11" s="36">
        <f t="shared" si="13"/>
        <v>1</v>
      </c>
      <c r="AB11" s="37">
        <f t="shared" si="4"/>
        <v>0</v>
      </c>
      <c r="AC11" s="38">
        <f t="shared" si="14"/>
        <v>0</v>
      </c>
      <c r="AD11" s="39">
        <f t="shared" si="15"/>
        <v>0</v>
      </c>
      <c r="AE11" s="40">
        <f t="shared" si="5"/>
        <v>0</v>
      </c>
      <c r="AF11" s="41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42"/>
      <c r="CC11" s="43"/>
    </row>
    <row r="12" spans="2:81" ht="15" customHeight="1" thickBot="1">
      <c r="B12" s="541" t="s">
        <v>69</v>
      </c>
      <c r="C12" s="479" t="s">
        <v>35</v>
      </c>
      <c r="D12" s="480"/>
      <c r="E12" s="481"/>
      <c r="F12" s="462"/>
      <c r="G12" s="462"/>
      <c r="H12" s="25">
        <f t="shared" si="6"/>
      </c>
      <c r="I12" s="26">
        <f t="shared" si="7"/>
      </c>
      <c r="O12" s="27"/>
      <c r="Q12" s="578" t="s">
        <v>69</v>
      </c>
      <c r="R12" s="28">
        <f t="shared" si="8"/>
        <v>0</v>
      </c>
      <c r="S12" s="29">
        <f t="shared" si="9"/>
        <v>0</v>
      </c>
      <c r="T12" s="30">
        <f t="shared" si="10"/>
        <v>0</v>
      </c>
      <c r="U12" s="31">
        <f t="shared" si="11"/>
        <v>0</v>
      </c>
      <c r="V12" s="32">
        <f t="shared" si="12"/>
        <v>0</v>
      </c>
      <c r="W12" s="32">
        <f t="shared" si="0"/>
        <v>0</v>
      </c>
      <c r="X12" s="33">
        <f t="shared" si="1"/>
        <v>0</v>
      </c>
      <c r="Y12" s="34">
        <f t="shared" si="2"/>
        <v>0</v>
      </c>
      <c r="Z12" s="35">
        <f t="shared" si="3"/>
        <v>1</v>
      </c>
      <c r="AA12" s="36">
        <f t="shared" si="13"/>
        <v>1</v>
      </c>
      <c r="AB12" s="37">
        <f t="shared" si="4"/>
        <v>0</v>
      </c>
      <c r="AC12" s="38">
        <f t="shared" si="14"/>
        <v>0</v>
      </c>
      <c r="AD12" s="39">
        <f t="shared" si="15"/>
        <v>0</v>
      </c>
      <c r="AE12" s="40">
        <f t="shared" si="5"/>
        <v>0</v>
      </c>
      <c r="AF12" s="35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3"/>
      <c r="CC12" s="43"/>
    </row>
    <row r="13" spans="2:81" ht="15" customHeight="1" thickBot="1">
      <c r="B13" s="542"/>
      <c r="C13" s="487" t="s">
        <v>36</v>
      </c>
      <c r="D13" s="488"/>
      <c r="E13" s="489"/>
      <c r="F13" s="463"/>
      <c r="G13" s="463"/>
      <c r="H13" s="25">
        <f t="shared" si="6"/>
      </c>
      <c r="I13" s="26">
        <f t="shared" si="7"/>
      </c>
      <c r="O13" s="27"/>
      <c r="Q13" s="578"/>
      <c r="R13" s="28">
        <f t="shared" si="8"/>
        <v>0</v>
      </c>
      <c r="S13" s="29">
        <f t="shared" si="9"/>
        <v>0</v>
      </c>
      <c r="T13" s="30">
        <f t="shared" si="10"/>
        <v>0</v>
      </c>
      <c r="U13" s="31">
        <f t="shared" si="11"/>
        <v>0</v>
      </c>
      <c r="V13" s="27">
        <f t="shared" si="12"/>
        <v>0</v>
      </c>
      <c r="W13" s="32">
        <f t="shared" si="0"/>
        <v>0</v>
      </c>
      <c r="X13" s="33">
        <f t="shared" si="1"/>
        <v>0</v>
      </c>
      <c r="Y13" s="34">
        <f t="shared" si="2"/>
        <v>0</v>
      </c>
      <c r="Z13" s="35">
        <f t="shared" si="3"/>
        <v>1</v>
      </c>
      <c r="AA13" s="36">
        <f t="shared" si="13"/>
        <v>1</v>
      </c>
      <c r="AB13" s="37">
        <f t="shared" si="4"/>
        <v>0</v>
      </c>
      <c r="AC13" s="38">
        <f t="shared" si="14"/>
        <v>0</v>
      </c>
      <c r="AD13" s="39">
        <f t="shared" si="15"/>
        <v>0</v>
      </c>
      <c r="AE13" s="40">
        <f t="shared" si="5"/>
        <v>0</v>
      </c>
      <c r="AF13" s="41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42"/>
      <c r="CC13" s="43"/>
    </row>
    <row r="14" spans="2:81" ht="15" customHeight="1" thickBot="1">
      <c r="B14" s="542"/>
      <c r="C14" s="487" t="s">
        <v>37</v>
      </c>
      <c r="D14" s="488"/>
      <c r="E14" s="489"/>
      <c r="F14" s="463"/>
      <c r="G14" s="463"/>
      <c r="H14" s="25">
        <f t="shared" si="6"/>
      </c>
      <c r="I14" s="26">
        <f t="shared" si="7"/>
      </c>
      <c r="O14" s="27"/>
      <c r="Q14" s="578"/>
      <c r="R14" s="28">
        <f t="shared" si="8"/>
        <v>0</v>
      </c>
      <c r="S14" s="29">
        <f t="shared" si="9"/>
        <v>0</v>
      </c>
      <c r="T14" s="30">
        <f t="shared" si="10"/>
        <v>0</v>
      </c>
      <c r="U14" s="31">
        <f t="shared" si="11"/>
        <v>0</v>
      </c>
      <c r="V14" s="27">
        <f t="shared" si="12"/>
        <v>0</v>
      </c>
      <c r="W14" s="32">
        <f t="shared" si="0"/>
        <v>0</v>
      </c>
      <c r="X14" s="33">
        <f t="shared" si="1"/>
        <v>0</v>
      </c>
      <c r="Y14" s="34">
        <f t="shared" si="2"/>
        <v>0</v>
      </c>
      <c r="Z14" s="35">
        <f t="shared" si="3"/>
        <v>1</v>
      </c>
      <c r="AA14" s="36">
        <f t="shared" si="13"/>
        <v>1</v>
      </c>
      <c r="AB14" s="37">
        <f t="shared" si="4"/>
        <v>0</v>
      </c>
      <c r="AC14" s="38">
        <f t="shared" si="14"/>
        <v>0</v>
      </c>
      <c r="AD14" s="39">
        <f t="shared" si="15"/>
        <v>0</v>
      </c>
      <c r="AE14" s="40">
        <f t="shared" si="5"/>
        <v>0</v>
      </c>
      <c r="AF14" s="41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42"/>
      <c r="CC14" s="45"/>
    </row>
    <row r="15" spans="2:81" ht="15" customHeight="1" thickBot="1">
      <c r="B15" s="542"/>
      <c r="C15" s="487" t="s">
        <v>38</v>
      </c>
      <c r="D15" s="488"/>
      <c r="E15" s="489"/>
      <c r="F15" s="463"/>
      <c r="G15" s="463"/>
      <c r="H15" s="25">
        <f t="shared" si="6"/>
      </c>
      <c r="I15" s="26">
        <f t="shared" si="7"/>
      </c>
      <c r="O15" s="27"/>
      <c r="Q15" s="578"/>
      <c r="R15" s="28">
        <f t="shared" si="8"/>
        <v>0</v>
      </c>
      <c r="S15" s="29">
        <f t="shared" si="9"/>
        <v>0</v>
      </c>
      <c r="T15" s="30">
        <f t="shared" si="10"/>
        <v>0</v>
      </c>
      <c r="U15" s="31">
        <f t="shared" si="11"/>
        <v>0</v>
      </c>
      <c r="V15" s="27">
        <f t="shared" si="12"/>
        <v>0</v>
      </c>
      <c r="W15" s="32">
        <f t="shared" si="0"/>
        <v>0</v>
      </c>
      <c r="X15" s="33">
        <f t="shared" si="1"/>
        <v>0</v>
      </c>
      <c r="Y15" s="34">
        <f t="shared" si="2"/>
        <v>0</v>
      </c>
      <c r="Z15" s="35">
        <f t="shared" si="3"/>
        <v>1</v>
      </c>
      <c r="AA15" s="36">
        <f t="shared" si="13"/>
        <v>1</v>
      </c>
      <c r="AB15" s="37">
        <f t="shared" si="4"/>
        <v>0</v>
      </c>
      <c r="AC15" s="38">
        <f t="shared" si="14"/>
        <v>0</v>
      </c>
      <c r="AD15" s="39">
        <f t="shared" si="15"/>
        <v>0</v>
      </c>
      <c r="AE15" s="40">
        <f t="shared" si="5"/>
        <v>0</v>
      </c>
      <c r="AF15" s="41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42"/>
      <c r="CC15" s="43"/>
    </row>
    <row r="16" spans="2:81" ht="15" customHeight="1" thickBot="1">
      <c r="B16" s="543"/>
      <c r="C16" s="484" t="s">
        <v>39</v>
      </c>
      <c r="D16" s="485"/>
      <c r="E16" s="486"/>
      <c r="F16" s="464"/>
      <c r="G16" s="464"/>
      <c r="H16" s="25">
        <f t="shared" si="6"/>
      </c>
      <c r="I16" s="26">
        <f t="shared" si="7"/>
      </c>
      <c r="O16" s="27"/>
      <c r="Q16" s="578"/>
      <c r="R16" s="28">
        <f>AU148</f>
        <v>0</v>
      </c>
      <c r="S16" s="29">
        <f t="shared" si="9"/>
        <v>0</v>
      </c>
      <c r="T16" s="30">
        <f t="shared" si="10"/>
        <v>0</v>
      </c>
      <c r="U16" s="31">
        <f t="shared" si="11"/>
        <v>0</v>
      </c>
      <c r="V16" s="46">
        <f t="shared" si="12"/>
        <v>0</v>
      </c>
      <c r="W16" s="32">
        <f t="shared" si="0"/>
        <v>0</v>
      </c>
      <c r="X16" s="33">
        <f t="shared" si="1"/>
        <v>0</v>
      </c>
      <c r="Y16" s="34">
        <f t="shared" si="2"/>
        <v>0</v>
      </c>
      <c r="Z16" s="35">
        <f t="shared" si="3"/>
        <v>1</v>
      </c>
      <c r="AA16" s="36">
        <f t="shared" si="13"/>
        <v>1</v>
      </c>
      <c r="AB16" s="37">
        <f t="shared" si="4"/>
        <v>0</v>
      </c>
      <c r="AC16" s="38">
        <f t="shared" si="14"/>
        <v>0</v>
      </c>
      <c r="AD16" s="39">
        <f>AC16*$Z$26*$Z$27*$Z$28*AA16*Z25+W60</f>
        <v>0</v>
      </c>
      <c r="AE16" s="40">
        <f t="shared" si="5"/>
        <v>0</v>
      </c>
      <c r="AF16" s="47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8"/>
      <c r="CC16" s="43"/>
    </row>
    <row r="17" spans="2:81" ht="52.5" customHeight="1" thickBot="1">
      <c r="B17" s="541" t="s">
        <v>70</v>
      </c>
      <c r="C17" s="512" t="s">
        <v>217</v>
      </c>
      <c r="D17" s="513"/>
      <c r="E17" s="514"/>
      <c r="F17" s="462"/>
      <c r="G17" s="462"/>
      <c r="H17" s="25">
        <f>IF(AND(F17&gt;G17,G17&lt;&gt;O17,G17&gt;0,F17&lt;&gt;O17),"Ошибка!","")</f>
      </c>
      <c r="I17" s="26">
        <f t="shared" si="7"/>
      </c>
      <c r="O17" s="27"/>
      <c r="Q17" s="579" t="s">
        <v>70</v>
      </c>
      <c r="R17" s="28">
        <f t="shared" si="8"/>
        <v>0</v>
      </c>
      <c r="S17" s="29">
        <f t="shared" si="9"/>
        <v>0</v>
      </c>
      <c r="T17" s="30">
        <f t="shared" si="10"/>
        <v>0</v>
      </c>
      <c r="U17" s="31">
        <f t="shared" si="11"/>
        <v>0</v>
      </c>
      <c r="V17" s="49">
        <f t="shared" si="12"/>
        <v>0</v>
      </c>
      <c r="W17" s="32">
        <f t="shared" si="0"/>
        <v>0</v>
      </c>
      <c r="X17" s="33">
        <f t="shared" si="1"/>
        <v>0</v>
      </c>
      <c r="Y17" s="34">
        <f t="shared" si="2"/>
        <v>0</v>
      </c>
      <c r="Z17" s="35">
        <f t="shared" si="3"/>
        <v>1</v>
      </c>
      <c r="AA17" s="36">
        <f t="shared" si="13"/>
        <v>1</v>
      </c>
      <c r="AB17" s="37">
        <f t="shared" si="4"/>
        <v>0</v>
      </c>
      <c r="AC17" s="38">
        <f t="shared" si="14"/>
        <v>0</v>
      </c>
      <c r="AD17" s="39">
        <f t="shared" si="15"/>
        <v>0</v>
      </c>
      <c r="AE17" s="40">
        <f t="shared" si="5"/>
        <v>0</v>
      </c>
      <c r="AF17" s="5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51"/>
      <c r="CC17" s="43"/>
    </row>
    <row r="18" spans="2:81" ht="15" customHeight="1" thickBot="1">
      <c r="B18" s="542"/>
      <c r="C18" s="509" t="s">
        <v>218</v>
      </c>
      <c r="D18" s="510"/>
      <c r="E18" s="511"/>
      <c r="F18" s="463"/>
      <c r="G18" s="463"/>
      <c r="H18" s="25">
        <f t="shared" si="6"/>
      </c>
      <c r="I18" s="26">
        <f t="shared" si="7"/>
      </c>
      <c r="O18" s="27"/>
      <c r="Q18" s="578"/>
      <c r="R18" s="28">
        <f t="shared" si="8"/>
        <v>0</v>
      </c>
      <c r="S18" s="29">
        <f>AU172</f>
        <v>0</v>
      </c>
      <c r="T18" s="30">
        <f t="shared" si="10"/>
        <v>0</v>
      </c>
      <c r="U18" s="31">
        <f t="shared" si="11"/>
        <v>0</v>
      </c>
      <c r="V18" s="27">
        <f t="shared" si="12"/>
        <v>0</v>
      </c>
      <c r="W18" s="32">
        <f t="shared" si="0"/>
        <v>0</v>
      </c>
      <c r="X18" s="33">
        <f t="shared" si="1"/>
        <v>0</v>
      </c>
      <c r="Y18" s="34">
        <f t="shared" si="2"/>
        <v>0</v>
      </c>
      <c r="Z18" s="35">
        <f t="shared" si="3"/>
        <v>1</v>
      </c>
      <c r="AA18" s="36">
        <f t="shared" si="13"/>
        <v>1</v>
      </c>
      <c r="AB18" s="37">
        <f t="shared" si="4"/>
        <v>0</v>
      </c>
      <c r="AC18" s="38">
        <f t="shared" si="14"/>
        <v>0</v>
      </c>
      <c r="AD18" s="39">
        <f t="shared" si="15"/>
        <v>0</v>
      </c>
      <c r="AE18" s="40">
        <f t="shared" si="5"/>
        <v>0</v>
      </c>
      <c r="AF18" s="41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42"/>
      <c r="CC18" s="43"/>
    </row>
    <row r="19" spans="2:81" ht="27.75" customHeight="1" thickBot="1">
      <c r="B19" s="543"/>
      <c r="C19" s="506" t="s">
        <v>219</v>
      </c>
      <c r="D19" s="507"/>
      <c r="E19" s="508"/>
      <c r="F19" s="464"/>
      <c r="G19" s="464"/>
      <c r="H19" s="25">
        <f t="shared" si="6"/>
      </c>
      <c r="I19" s="26">
        <f t="shared" si="7"/>
      </c>
      <c r="O19" s="27"/>
      <c r="Q19" s="580"/>
      <c r="R19" s="28">
        <f>AU151</f>
        <v>0</v>
      </c>
      <c r="S19" s="29">
        <f t="shared" si="9"/>
        <v>0</v>
      </c>
      <c r="T19" s="30">
        <f t="shared" si="10"/>
        <v>0</v>
      </c>
      <c r="U19" s="31">
        <f t="shared" si="11"/>
        <v>0</v>
      </c>
      <c r="V19" s="46">
        <f t="shared" si="12"/>
        <v>0</v>
      </c>
      <c r="W19" s="32">
        <f t="shared" si="0"/>
        <v>0</v>
      </c>
      <c r="X19" s="33">
        <f t="shared" si="1"/>
        <v>0</v>
      </c>
      <c r="Y19" s="34">
        <f t="shared" si="2"/>
        <v>0</v>
      </c>
      <c r="Z19" s="35">
        <f t="shared" si="3"/>
        <v>1</v>
      </c>
      <c r="AA19" s="36">
        <f t="shared" si="13"/>
        <v>1</v>
      </c>
      <c r="AB19" s="37">
        <f t="shared" si="4"/>
        <v>0</v>
      </c>
      <c r="AC19" s="38">
        <f t="shared" si="14"/>
        <v>0</v>
      </c>
      <c r="AD19" s="39">
        <f t="shared" si="15"/>
        <v>0</v>
      </c>
      <c r="AE19" s="40">
        <f t="shared" si="5"/>
        <v>0</v>
      </c>
      <c r="AF19" s="47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8"/>
      <c r="CC19" s="43"/>
    </row>
    <row r="20" spans="8:81" ht="9" customHeight="1" thickBot="1">
      <c r="H20" s="52"/>
      <c r="I20" s="52"/>
      <c r="Z20" s="53"/>
      <c r="AE20" s="54">
        <f>SUM(AE6:AE19)</f>
        <v>0</v>
      </c>
      <c r="CC20" s="45"/>
    </row>
    <row r="21" spans="2:81" ht="27" customHeight="1" thickBot="1">
      <c r="B21" s="590" t="s">
        <v>230</v>
      </c>
      <c r="C21" s="590"/>
      <c r="D21" s="590"/>
      <c r="E21" s="590"/>
      <c r="F21" s="524"/>
      <c r="G21" s="524"/>
      <c r="H21" s="55"/>
      <c r="I21" s="55"/>
      <c r="O21" s="5" t="s">
        <v>232</v>
      </c>
      <c r="P21" s="54">
        <f>SUM(F6:F19)</f>
        <v>0</v>
      </c>
      <c r="Q21" s="54">
        <f>SUM(G6:G19)</f>
        <v>0</v>
      </c>
      <c r="Z21" s="56"/>
      <c r="AE21" s="57"/>
      <c r="CC21" s="45"/>
    </row>
    <row r="22" spans="2:124" ht="15" customHeight="1" thickBot="1">
      <c r="B22" s="525" t="s">
        <v>73</v>
      </c>
      <c r="C22" s="479" t="s">
        <v>175</v>
      </c>
      <c r="D22" s="515"/>
      <c r="E22" s="465"/>
      <c r="Q22" s="58"/>
      <c r="R22" s="59"/>
      <c r="S22" s="60"/>
      <c r="Y22" s="61" t="s">
        <v>201</v>
      </c>
      <c r="Z22" s="62"/>
      <c r="AA22" s="63">
        <v>0</v>
      </c>
      <c r="AB22" s="64"/>
      <c r="CC22" s="65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7"/>
      <c r="DD22" s="66"/>
      <c r="DE22" s="66"/>
      <c r="DF22" s="66"/>
      <c r="DG22" s="66"/>
      <c r="DH22" s="67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</row>
    <row r="23" spans="2:81" ht="15" customHeight="1" thickBot="1">
      <c r="B23" s="526"/>
      <c r="C23" s="487" t="s">
        <v>176</v>
      </c>
      <c r="D23" s="517"/>
      <c r="E23" s="466"/>
      <c r="Q23" s="58"/>
      <c r="R23" s="68"/>
      <c r="S23" s="69"/>
      <c r="Y23" s="70" t="s">
        <v>163</v>
      </c>
      <c r="Z23" s="71"/>
      <c r="AA23" s="72">
        <f>CR209</f>
        <v>0</v>
      </c>
      <c r="AB23" s="73">
        <v>1</v>
      </c>
      <c r="CC23" s="65"/>
    </row>
    <row r="24" spans="2:81" ht="15" customHeight="1" thickBot="1">
      <c r="B24" s="526"/>
      <c r="C24" s="487" t="s">
        <v>177</v>
      </c>
      <c r="D24" s="517"/>
      <c r="E24" s="466"/>
      <c r="Q24" s="74"/>
      <c r="R24" s="75">
        <v>0</v>
      </c>
      <c r="S24" s="69"/>
      <c r="Y24" s="76" t="s">
        <v>164</v>
      </c>
      <c r="Z24" s="77">
        <f>W63</f>
        <v>0</v>
      </c>
      <c r="AA24" s="78">
        <v>2</v>
      </c>
      <c r="AB24" s="8"/>
      <c r="CC24" s="65"/>
    </row>
    <row r="25" spans="2:81" ht="15" customHeight="1" thickBot="1">
      <c r="B25" s="526"/>
      <c r="C25" s="487" t="s">
        <v>197</v>
      </c>
      <c r="D25" s="517"/>
      <c r="E25" s="466"/>
      <c r="Q25" s="58"/>
      <c r="R25" s="79" t="s">
        <v>76</v>
      </c>
      <c r="S25" s="69"/>
      <c r="Y25" s="80" t="s">
        <v>165</v>
      </c>
      <c r="Z25" s="81" t="str">
        <f>CR235</f>
        <v>1,00</v>
      </c>
      <c r="AA25" s="82">
        <v>3</v>
      </c>
      <c r="AB25" s="8"/>
      <c r="AD25" s="83" t="s">
        <v>220</v>
      </c>
      <c r="CC25" s="10"/>
    </row>
    <row r="26" spans="2:81" ht="15" customHeight="1">
      <c r="B26" s="526"/>
      <c r="C26" s="487" t="s">
        <v>178</v>
      </c>
      <c r="D26" s="517"/>
      <c r="E26" s="466"/>
      <c r="Q26" s="58"/>
      <c r="R26" s="79" t="s">
        <v>77</v>
      </c>
      <c r="S26" s="69"/>
      <c r="Y26" s="84" t="s">
        <v>166</v>
      </c>
      <c r="Z26" s="85">
        <f>CR238</f>
        <v>1</v>
      </c>
      <c r="AA26" s="86">
        <v>4</v>
      </c>
      <c r="AB26" s="8"/>
      <c r="CC26" s="10"/>
    </row>
    <row r="27" spans="2:81" ht="15" customHeight="1" thickBot="1">
      <c r="B27" s="526"/>
      <c r="C27" s="487" t="s">
        <v>179</v>
      </c>
      <c r="D27" s="517"/>
      <c r="E27" s="466"/>
      <c r="Q27" s="58"/>
      <c r="R27" s="87" t="s">
        <v>78</v>
      </c>
      <c r="S27" s="69"/>
      <c r="Y27" s="84" t="s">
        <v>167</v>
      </c>
      <c r="Z27" s="88">
        <f>CR361</f>
        <v>1</v>
      </c>
      <c r="AA27" s="86">
        <v>6</v>
      </c>
      <c r="AB27" s="8"/>
      <c r="CC27" s="10"/>
    </row>
    <row r="28" spans="2:81" ht="15" customHeight="1" thickBot="1">
      <c r="B28" s="526"/>
      <c r="C28" s="487" t="s">
        <v>180</v>
      </c>
      <c r="D28" s="517"/>
      <c r="E28" s="466"/>
      <c r="Q28" s="89"/>
      <c r="R28" s="90"/>
      <c r="S28" s="91"/>
      <c r="Y28" s="84" t="s">
        <v>168</v>
      </c>
      <c r="Z28" s="88">
        <f>CR366</f>
        <v>1</v>
      </c>
      <c r="AA28" s="86">
        <v>7</v>
      </c>
      <c r="AB28" s="8"/>
      <c r="CC28" s="10"/>
    </row>
    <row r="29" spans="2:81" ht="15" customHeight="1">
      <c r="B29" s="526"/>
      <c r="C29" s="487" t="s">
        <v>181</v>
      </c>
      <c r="D29" s="517"/>
      <c r="E29" s="466"/>
      <c r="CC29" s="10"/>
    </row>
    <row r="30" spans="2:19" ht="40.5" customHeight="1">
      <c r="B30" s="526"/>
      <c r="C30" s="487" t="s">
        <v>182</v>
      </c>
      <c r="D30" s="517"/>
      <c r="E30" s="466"/>
      <c r="O30" s="27" t="s">
        <v>243</v>
      </c>
      <c r="P30" s="27">
        <f>IF(OR(H6="Ошибка!",H7="Ошибка!",H8="Ошибка!",H9="Ошибка!",H10="Ошибка!",H11="Ошибка!",H12="Ошибка!",H13="Ошибка!",H14="Ошибка!",H15="Ошибка!",H16="Ошибка!",H17="Ошибка!",H18="Ошибка!",H19="Ошибка!"),"Шаг 1. Неправильно введена Страховая сумма
","")</f>
      </c>
      <c r="R30" s="27" t="s">
        <v>247</v>
      </c>
      <c r="S30" s="27" t="str">
        <f>IF(AND(F6=O19,F7=O19,F8=O19,F9=O19,F10=O19,F11=O19,F12=O19,F13=O19,F14=O19,F15=O19,F16=O19,F17=O19,F18=O19,F19=O19),"Шаг 1. Укажите Страховую сумму
","")</f>
        <v>Шаг 1. Укажите Страховую сумму
</v>
      </c>
    </row>
    <row r="31" spans="2:19" ht="27" customHeight="1">
      <c r="B31" s="526"/>
      <c r="C31" s="487" t="s">
        <v>183</v>
      </c>
      <c r="D31" s="517"/>
      <c r="E31" s="466"/>
      <c r="O31" s="27" t="s">
        <v>243</v>
      </c>
      <c r="P31" s="27">
        <f>IF(AND(F19&gt;0,F19&lt;&gt;O19),"Шаг 1. Вы выбрали объект, страхование которого производится только по согласованию с андеррайтером
","")</f>
      </c>
      <c r="R31" s="27" t="s">
        <v>247</v>
      </c>
      <c r="S31" s="27" t="str">
        <f>IF(AND(E22=O19,E23=O19,E24=O19,E25=O19,E26=O19,E27=O19,E28=O19,E29=O19,E30=O19,E31=O19,E32=O19,E33=O19,E34=O19,E35=O19,E36=O19,E37=O19,E38=O19,E39=O19,E40=O19,E41=O19,E42=O19,E43=O19,E44=O19,E45=O19,E46=O19,E47=O19,E48=O19,E49=O19,E50=O19),"Шаг 2. Укажите назначение и характер фактического использования здания
","")</f>
        <v>Шаг 2. Укажите назначение и характер фактического использования здания
</v>
      </c>
    </row>
    <row r="32" spans="2:19" ht="15" customHeight="1">
      <c r="B32" s="526"/>
      <c r="C32" s="487" t="s">
        <v>184</v>
      </c>
      <c r="D32" s="517"/>
      <c r="E32" s="466"/>
      <c r="O32" s="27" t="s">
        <v>243</v>
      </c>
      <c r="P32" s="27">
        <f>IF(OR(E29="х",E30="х",E31="х",E32="х",E33="х",E37="х",E38="х",E49="х",E50),"Шаг 2. Вы выбрали назначение и характер фактического использования здания, страхование которого производится только по согласованию с андеррайтером
","")</f>
      </c>
      <c r="R32" s="27" t="s">
        <v>247</v>
      </c>
      <c r="S32" s="27">
        <f>IF(AND(E53=O19,E54=O19,E55=O19,E56=O19),"Шаг 3. Укажите особенности конструкции строения
","")</f>
      </c>
    </row>
    <row r="33" spans="2:16" ht="15" customHeight="1" thickBot="1">
      <c r="B33" s="527"/>
      <c r="C33" s="484" t="s">
        <v>174</v>
      </c>
      <c r="D33" s="516"/>
      <c r="E33" s="467"/>
      <c r="O33" s="27" t="s">
        <v>243</v>
      </c>
      <c r="P33" s="27">
        <f>IF(OR(D66=O19,D66=0),"Шаг 5. Не выбран срок страхования
","")</f>
      </c>
    </row>
    <row r="34" spans="2:23" ht="28.5" customHeight="1">
      <c r="B34" s="525" t="s">
        <v>74</v>
      </c>
      <c r="C34" s="518" t="s">
        <v>233</v>
      </c>
      <c r="D34" s="515"/>
      <c r="E34" s="465"/>
      <c r="O34" s="27" t="s">
        <v>243</v>
      </c>
      <c r="P34" s="27">
        <f>IF(E56="х","Шаг 3. Вы указали особенности конструкции строения, страхование которого производится только по согласованию с андеррайтером
","")</f>
      </c>
      <c r="R34" s="641" t="s">
        <v>245</v>
      </c>
      <c r="S34" s="641"/>
      <c r="T34" s="641"/>
      <c r="U34" s="641"/>
      <c r="V34" s="642"/>
      <c r="W34" s="642"/>
    </row>
    <row r="35" spans="2:16" ht="29.25" customHeight="1">
      <c r="B35" s="526"/>
      <c r="C35" s="487" t="s">
        <v>234</v>
      </c>
      <c r="D35" s="517"/>
      <c r="E35" s="466"/>
      <c r="O35" s="27" t="s">
        <v>244</v>
      </c>
      <c r="P35" s="27" t="str">
        <f>CONCATENATE(R34,S30,P30,P31,S31,P32,P34,S32,P33)</f>
        <v>Калькулятор не может посчитать тариф по причине:
Шаг 1. Укажите Страховую сумму
Шаг 2. Укажите назначение и характер фактического использования здания
</v>
      </c>
    </row>
    <row r="36" spans="2:95" s="5" customFormat="1" ht="42.75" customHeight="1" thickBot="1">
      <c r="B36" s="526"/>
      <c r="C36" s="487" t="s">
        <v>235</v>
      </c>
      <c r="D36" s="517"/>
      <c r="E36" s="466"/>
      <c r="M36" s="4"/>
      <c r="Z36" s="3"/>
      <c r="CL36" s="6"/>
      <c r="CN36" s="8"/>
      <c r="CO36" s="8"/>
      <c r="CP36" s="8"/>
      <c r="CQ36" s="8"/>
    </row>
    <row r="37" spans="2:95" s="5" customFormat="1" ht="41.25" customHeight="1" thickBot="1">
      <c r="B37" s="526"/>
      <c r="C37" s="487" t="s">
        <v>236</v>
      </c>
      <c r="D37" s="517"/>
      <c r="E37" s="466"/>
      <c r="M37" s="4"/>
      <c r="O37" s="92">
        <f aca="true" t="shared" si="16" ref="O37:O50">IF(F6&gt;0,"х","")</f>
      </c>
      <c r="Z37" s="3"/>
      <c r="CL37" s="6"/>
      <c r="CN37" s="8"/>
      <c r="CO37" s="8"/>
      <c r="CP37" s="8"/>
      <c r="CQ37" s="8"/>
    </row>
    <row r="38" spans="2:15" ht="15" customHeight="1" thickBot="1">
      <c r="B38" s="527"/>
      <c r="C38" s="484" t="s">
        <v>185</v>
      </c>
      <c r="D38" s="516"/>
      <c r="E38" s="468"/>
      <c r="O38" s="92">
        <f t="shared" si="16"/>
      </c>
    </row>
    <row r="39" spans="2:15" ht="15" customHeight="1" thickBot="1">
      <c r="B39" s="525" t="s">
        <v>75</v>
      </c>
      <c r="C39" s="479" t="s">
        <v>186</v>
      </c>
      <c r="D39" s="515"/>
      <c r="E39" s="469"/>
      <c r="O39" s="92">
        <f t="shared" si="16"/>
      </c>
    </row>
    <row r="40" spans="2:15" ht="15" customHeight="1" thickBot="1">
      <c r="B40" s="526"/>
      <c r="C40" s="487" t="s">
        <v>187</v>
      </c>
      <c r="D40" s="517"/>
      <c r="E40" s="466"/>
      <c r="O40" s="92">
        <f t="shared" si="16"/>
      </c>
    </row>
    <row r="41" spans="2:15" ht="15" customHeight="1" thickBot="1">
      <c r="B41" s="526"/>
      <c r="C41" s="487" t="s">
        <v>188</v>
      </c>
      <c r="D41" s="517"/>
      <c r="E41" s="466"/>
      <c r="O41" s="92">
        <f t="shared" si="16"/>
      </c>
    </row>
    <row r="42" spans="2:15" ht="15" customHeight="1" thickBot="1">
      <c r="B42" s="526"/>
      <c r="C42" s="487" t="s">
        <v>189</v>
      </c>
      <c r="D42" s="517"/>
      <c r="E42" s="466"/>
      <c r="O42" s="92">
        <f t="shared" si="16"/>
      </c>
    </row>
    <row r="43" spans="2:15" ht="15" customHeight="1" thickBot="1">
      <c r="B43" s="526"/>
      <c r="C43" s="487" t="s">
        <v>190</v>
      </c>
      <c r="D43" s="517"/>
      <c r="E43" s="466"/>
      <c r="O43" s="92">
        <f t="shared" si="16"/>
      </c>
    </row>
    <row r="44" spans="2:15" ht="15" customHeight="1" thickBot="1">
      <c r="B44" s="526"/>
      <c r="C44" s="487" t="s">
        <v>191</v>
      </c>
      <c r="D44" s="517"/>
      <c r="E44" s="466"/>
      <c r="O44" s="92">
        <f t="shared" si="16"/>
      </c>
    </row>
    <row r="45" spans="2:15" ht="15" customHeight="1" thickBot="1">
      <c r="B45" s="526"/>
      <c r="C45" s="487" t="s">
        <v>195</v>
      </c>
      <c r="D45" s="517"/>
      <c r="E45" s="466"/>
      <c r="O45" s="92">
        <f t="shared" si="16"/>
      </c>
    </row>
    <row r="46" spans="2:15" ht="15" customHeight="1" thickBot="1">
      <c r="B46" s="526"/>
      <c r="C46" s="487" t="s">
        <v>192</v>
      </c>
      <c r="D46" s="517"/>
      <c r="E46" s="466"/>
      <c r="O46" s="92">
        <f t="shared" si="16"/>
      </c>
    </row>
    <row r="47" spans="2:15" ht="26.25" customHeight="1" thickBot="1">
      <c r="B47" s="526"/>
      <c r="C47" s="487" t="s">
        <v>196</v>
      </c>
      <c r="D47" s="517"/>
      <c r="E47" s="466"/>
      <c r="O47" s="92">
        <f t="shared" si="16"/>
      </c>
    </row>
    <row r="48" spans="2:15" ht="27" customHeight="1" thickBot="1">
      <c r="B48" s="526"/>
      <c r="C48" s="487" t="s">
        <v>193</v>
      </c>
      <c r="D48" s="517"/>
      <c r="E48" s="466"/>
      <c r="O48" s="92">
        <f t="shared" si="16"/>
      </c>
    </row>
    <row r="49" spans="2:85" ht="15" customHeight="1" thickBot="1">
      <c r="B49" s="526"/>
      <c r="C49" s="487" t="s">
        <v>194</v>
      </c>
      <c r="D49" s="517"/>
      <c r="E49" s="467"/>
      <c r="O49" s="92">
        <f t="shared" si="16"/>
      </c>
      <c r="CB49" s="10"/>
      <c r="CC49" s="93"/>
      <c r="CD49" s="93"/>
      <c r="CE49" s="94"/>
      <c r="CF49" s="95"/>
      <c r="CG49" s="10"/>
    </row>
    <row r="50" spans="2:85" ht="15" customHeight="1" thickBot="1">
      <c r="B50" s="527"/>
      <c r="C50" s="484" t="s">
        <v>198</v>
      </c>
      <c r="D50" s="516"/>
      <c r="E50" s="468"/>
      <c r="O50" s="96">
        <f t="shared" si="16"/>
      </c>
      <c r="CB50" s="10"/>
      <c r="CC50" s="97"/>
      <c r="CD50" s="97"/>
      <c r="CE50" s="98"/>
      <c r="CF50" s="99"/>
      <c r="CG50" s="10"/>
    </row>
    <row r="51" spans="80:95" ht="9" customHeight="1" thickBot="1">
      <c r="CB51" s="10"/>
      <c r="CC51" s="100"/>
      <c r="CD51" s="101"/>
      <c r="CE51" s="102"/>
      <c r="CF51" s="103"/>
      <c r="CG51" s="10"/>
      <c r="CO51" s="104" t="s">
        <v>72</v>
      </c>
      <c r="CQ51" s="105" t="s">
        <v>79</v>
      </c>
    </row>
    <row r="52" spans="2:93" ht="25.5" customHeight="1" thickBot="1">
      <c r="B52" s="523" t="s">
        <v>228</v>
      </c>
      <c r="C52" s="523"/>
      <c r="D52" s="523"/>
      <c r="E52" s="523"/>
      <c r="F52" s="524"/>
      <c r="G52" s="524"/>
      <c r="CB52" s="10"/>
      <c r="CC52" s="106"/>
      <c r="CD52" s="107"/>
      <c r="CE52" s="102"/>
      <c r="CF52" s="108"/>
      <c r="CG52" s="10"/>
      <c r="CO52" s="109"/>
    </row>
    <row r="53" spans="2:85" ht="30.75" customHeight="1">
      <c r="B53" s="532" t="s">
        <v>76</v>
      </c>
      <c r="C53" s="533"/>
      <c r="D53" s="534"/>
      <c r="E53" s="470" t="s">
        <v>79</v>
      </c>
      <c r="F53" s="111"/>
      <c r="CB53" s="10"/>
      <c r="CC53" s="106"/>
      <c r="CD53" s="101"/>
      <c r="CE53" s="102"/>
      <c r="CF53" s="108"/>
      <c r="CG53" s="10"/>
    </row>
    <row r="54" spans="2:95" s="5" customFormat="1" ht="15" customHeight="1">
      <c r="B54" s="519" t="s">
        <v>77</v>
      </c>
      <c r="C54" s="520"/>
      <c r="D54" s="531"/>
      <c r="E54" s="471"/>
      <c r="F54" s="112"/>
      <c r="M54" s="4"/>
      <c r="O54" s="113"/>
      <c r="CB54" s="111"/>
      <c r="CC54" s="106"/>
      <c r="CD54" s="101"/>
      <c r="CE54" s="102"/>
      <c r="CF54" s="108"/>
      <c r="CG54" s="111"/>
      <c r="CL54" s="6"/>
      <c r="CN54" s="8"/>
      <c r="CO54" s="8"/>
      <c r="CP54" s="8"/>
      <c r="CQ54" s="8"/>
    </row>
    <row r="55" spans="2:95" s="5" customFormat="1" ht="16.5" customHeight="1">
      <c r="B55" s="519" t="s">
        <v>78</v>
      </c>
      <c r="C55" s="520"/>
      <c r="D55" s="531"/>
      <c r="E55" s="471"/>
      <c r="F55" s="112"/>
      <c r="M55" s="4"/>
      <c r="O55" s="113"/>
      <c r="CB55" s="111"/>
      <c r="CC55" s="106"/>
      <c r="CD55" s="101"/>
      <c r="CE55" s="102"/>
      <c r="CF55" s="108"/>
      <c r="CG55" s="111"/>
      <c r="CL55" s="6"/>
      <c r="CN55" s="8"/>
      <c r="CO55" s="8"/>
      <c r="CP55" s="8"/>
      <c r="CQ55" s="8"/>
    </row>
    <row r="56" spans="2:95" s="5" customFormat="1" ht="16.5" customHeight="1" thickBot="1">
      <c r="B56" s="592" t="s">
        <v>242</v>
      </c>
      <c r="C56" s="593"/>
      <c r="D56" s="594"/>
      <c r="E56" s="472"/>
      <c r="F56" s="112"/>
      <c r="M56" s="4"/>
      <c r="O56" s="113"/>
      <c r="CB56" s="111"/>
      <c r="CC56" s="106"/>
      <c r="CD56" s="101"/>
      <c r="CE56" s="102"/>
      <c r="CF56" s="108"/>
      <c r="CG56" s="111"/>
      <c r="CL56" s="6"/>
      <c r="CN56" s="8"/>
      <c r="CO56" s="8"/>
      <c r="CP56" s="8"/>
      <c r="CQ56" s="8"/>
    </row>
    <row r="57" spans="2:95" s="5" customFormat="1" ht="9" customHeight="1" thickBot="1">
      <c r="B57" s="3"/>
      <c r="C57" s="3"/>
      <c r="D57" s="3"/>
      <c r="E57" s="3"/>
      <c r="F57" s="3"/>
      <c r="G57" s="3"/>
      <c r="H57" s="114"/>
      <c r="I57" s="57"/>
      <c r="M57" s="4"/>
      <c r="O57" s="113"/>
      <c r="CB57" s="111"/>
      <c r="CC57" s="106"/>
      <c r="CD57" s="101"/>
      <c r="CE57" s="102"/>
      <c r="CF57" s="108"/>
      <c r="CG57" s="111"/>
      <c r="CL57" s="6"/>
      <c r="CN57" s="8"/>
      <c r="CO57" s="8"/>
      <c r="CP57" s="8"/>
      <c r="CQ57" s="8"/>
    </row>
    <row r="58" spans="2:95" s="5" customFormat="1" ht="26.25" customHeight="1" thickBot="1">
      <c r="B58" s="591" t="s">
        <v>229</v>
      </c>
      <c r="C58" s="591"/>
      <c r="D58" s="591"/>
      <c r="E58" s="591"/>
      <c r="F58" s="554"/>
      <c r="G58" s="554"/>
      <c r="H58" s="114"/>
      <c r="I58" s="57"/>
      <c r="M58" s="4"/>
      <c r="O58" s="115"/>
      <c r="P58" s="111"/>
      <c r="Q58" s="111"/>
      <c r="W58" s="575" t="s">
        <v>222</v>
      </c>
      <c r="X58" s="575"/>
      <c r="Y58" s="575"/>
      <c r="Z58" s="575"/>
      <c r="AC58" s="559" t="str">
        <f>AG58</f>
        <v>1. Стены- кирпич/ бетон, перекрытия- ж/бетон или полностью металические без горючего утеплителя (пенопласта, пенополистирола и т.п.)</v>
      </c>
      <c r="AD58" s="560"/>
      <c r="AE58" s="561"/>
      <c r="AG58" s="116" t="str">
        <f>IF(E53="х",B53,"")</f>
        <v>1. Стены- кирпич/ бетон, перекрытия- ж/бетон или полностью металические без горючего утеплителя (пенопласта, пенополистирола и т.п.)</v>
      </c>
      <c r="CB58" s="111"/>
      <c r="CC58" s="106"/>
      <c r="CD58" s="101"/>
      <c r="CE58" s="102"/>
      <c r="CF58" s="108"/>
      <c r="CG58" s="111"/>
      <c r="CL58" s="6"/>
      <c r="CN58" s="8"/>
      <c r="CO58" s="8"/>
      <c r="CP58" s="8"/>
      <c r="CQ58" s="8"/>
    </row>
    <row r="59" spans="2:95" s="5" customFormat="1" ht="17.25" customHeight="1" thickBot="1">
      <c r="B59" s="500" t="s">
        <v>215</v>
      </c>
      <c r="C59" s="501"/>
      <c r="D59" s="502"/>
      <c r="E59" s="473"/>
      <c r="F59" s="10"/>
      <c r="G59" s="10"/>
      <c r="H59" s="114"/>
      <c r="I59" s="57"/>
      <c r="M59" s="4"/>
      <c r="O59" s="532" t="s">
        <v>0</v>
      </c>
      <c r="P59" s="582"/>
      <c r="Q59" s="534"/>
      <c r="R59" s="110">
        <f>IF(AND(E59="х",F10&gt;0),"х",U59)</f>
        <v>0</v>
      </c>
      <c r="U59" s="27"/>
      <c r="W59" s="117">
        <f>CR209</f>
        <v>0</v>
      </c>
      <c r="X59" s="577" t="s">
        <v>223</v>
      </c>
      <c r="Y59" s="566"/>
      <c r="Z59" s="566"/>
      <c r="AC59" s="559">
        <f>AG59</f>
      </c>
      <c r="AD59" s="560"/>
      <c r="AE59" s="561"/>
      <c r="AG59" s="116">
        <f>IF(E54="х",B54,"")</f>
      </c>
      <c r="CB59" s="111"/>
      <c r="CC59" s="106"/>
      <c r="CD59" s="101"/>
      <c r="CE59" s="102"/>
      <c r="CF59" s="108"/>
      <c r="CG59" s="111"/>
      <c r="CL59" s="6"/>
      <c r="CN59" s="8"/>
      <c r="CO59" s="8"/>
      <c r="CP59" s="8"/>
      <c r="CQ59" s="8"/>
    </row>
    <row r="60" spans="2:95" s="5" customFormat="1" ht="15" customHeight="1" thickBot="1">
      <c r="B60" s="519" t="s">
        <v>221</v>
      </c>
      <c r="C60" s="520"/>
      <c r="D60" s="521"/>
      <c r="E60" s="522"/>
      <c r="F60" s="10"/>
      <c r="G60" s="10"/>
      <c r="H60" s="114"/>
      <c r="I60" s="57"/>
      <c r="M60" s="4"/>
      <c r="O60" s="519" t="s">
        <v>1</v>
      </c>
      <c r="P60" s="581"/>
      <c r="Q60" s="531"/>
      <c r="R60" s="110">
        <f>IF(AND(E59="х",F10&gt;0),"х",U60)</f>
        <v>0</v>
      </c>
      <c r="U60" s="27"/>
      <c r="W60" s="118">
        <f>CR210</f>
        <v>0</v>
      </c>
      <c r="X60" s="577" t="s">
        <v>224</v>
      </c>
      <c r="Y60" s="566"/>
      <c r="Z60" s="566"/>
      <c r="AC60" s="559">
        <f>AG60</f>
      </c>
      <c r="AD60" s="560"/>
      <c r="AE60" s="561"/>
      <c r="AG60" s="119">
        <f>IF(E55="х",B55,"")</f>
      </c>
      <c r="CB60" s="111"/>
      <c r="CC60" s="106"/>
      <c r="CD60" s="101"/>
      <c r="CE60" s="102"/>
      <c r="CF60" s="108"/>
      <c r="CG60" s="111"/>
      <c r="CL60" s="6"/>
      <c r="CN60" s="8"/>
      <c r="CO60" s="8"/>
      <c r="CP60" s="8"/>
      <c r="CQ60" s="8"/>
    </row>
    <row r="61" spans="2:95" s="5" customFormat="1" ht="15" customHeight="1" thickBot="1">
      <c r="B61" s="503" t="s">
        <v>216</v>
      </c>
      <c r="C61" s="504"/>
      <c r="D61" s="504"/>
      <c r="E61" s="505"/>
      <c r="F61" s="10"/>
      <c r="G61" s="10"/>
      <c r="H61" s="114"/>
      <c r="I61" s="57"/>
      <c r="M61" s="4"/>
      <c r="O61" s="519" t="s">
        <v>2</v>
      </c>
      <c r="P61" s="567"/>
      <c r="Q61" s="568"/>
      <c r="R61" s="110">
        <f>IF(AND(E59="х",F16&gt;0),"х",U61)</f>
        <v>0</v>
      </c>
      <c r="U61" s="27"/>
      <c r="AC61" s="572" t="str">
        <f>AG61</f>
        <v>х</v>
      </c>
      <c r="AD61" s="573"/>
      <c r="AE61" s="574"/>
      <c r="AF61" s="120"/>
      <c r="AG61" s="121" t="str">
        <f>IF(AND(E53="",E54="",E55="",E56="",E56="х"),AF61,"х")</f>
        <v>х</v>
      </c>
      <c r="CB61" s="111"/>
      <c r="CC61" s="106"/>
      <c r="CD61" s="101"/>
      <c r="CE61" s="102"/>
      <c r="CF61" s="108"/>
      <c r="CG61" s="111"/>
      <c r="CL61" s="6"/>
      <c r="CN61" s="8"/>
      <c r="CO61" s="8"/>
      <c r="CP61" s="8"/>
      <c r="CQ61" s="8"/>
    </row>
    <row r="62" spans="2:95" s="5" customFormat="1" ht="47.25" customHeight="1" thickBot="1">
      <c r="B62" s="528" t="s">
        <v>82</v>
      </c>
      <c r="C62" s="529"/>
      <c r="D62" s="530"/>
      <c r="E62" s="474"/>
      <c r="I62" s="57"/>
      <c r="M62" s="4"/>
      <c r="O62" s="113"/>
      <c r="P62" s="111"/>
      <c r="Q62" s="111"/>
      <c r="R62" s="111"/>
      <c r="S62" s="111"/>
      <c r="T62" s="111"/>
      <c r="U62" s="27"/>
      <c r="V62" s="111"/>
      <c r="W62" s="575" t="s">
        <v>225</v>
      </c>
      <c r="X62" s="576"/>
      <c r="Y62" s="576"/>
      <c r="Z62" s="576"/>
      <c r="CB62" s="111"/>
      <c r="CC62" s="106"/>
      <c r="CD62" s="101"/>
      <c r="CE62" s="102"/>
      <c r="CF62" s="108"/>
      <c r="CG62" s="111"/>
      <c r="CL62" s="6"/>
      <c r="CN62" s="8"/>
      <c r="CO62" s="8"/>
      <c r="CP62" s="8"/>
      <c r="CQ62" s="8"/>
    </row>
    <row r="63" spans="2:95" s="5" customFormat="1" ht="15.75" customHeight="1" thickBot="1">
      <c r="B63" s="547" t="s">
        <v>83</v>
      </c>
      <c r="C63" s="548"/>
      <c r="D63" s="549"/>
      <c r="E63" s="475"/>
      <c r="H63" s="114"/>
      <c r="I63" s="57"/>
      <c r="M63" s="4"/>
      <c r="S63" s="111"/>
      <c r="T63" s="111"/>
      <c r="U63" s="27"/>
      <c r="V63" s="111"/>
      <c r="W63" s="122">
        <f>CR215</f>
        <v>0</v>
      </c>
      <c r="X63" s="577" t="s">
        <v>226</v>
      </c>
      <c r="Y63" s="566"/>
      <c r="Z63" s="566"/>
      <c r="CB63" s="111"/>
      <c r="CC63" s="106"/>
      <c r="CD63" s="101"/>
      <c r="CE63" s="102"/>
      <c r="CF63" s="108"/>
      <c r="CG63" s="111"/>
      <c r="CL63" s="6"/>
      <c r="CN63" s="8"/>
      <c r="CO63" s="8"/>
      <c r="CP63" s="8"/>
      <c r="CQ63" s="8"/>
    </row>
    <row r="64" spans="8:95" s="5" customFormat="1" ht="9" customHeight="1">
      <c r="H64" s="114"/>
      <c r="I64" s="57"/>
      <c r="M64" s="4"/>
      <c r="S64" s="111"/>
      <c r="T64" s="111"/>
      <c r="U64" s="27"/>
      <c r="V64" s="111"/>
      <c r="W64" s="123"/>
      <c r="X64" s="566" t="s">
        <v>227</v>
      </c>
      <c r="Y64" s="566"/>
      <c r="Z64" s="566"/>
      <c r="CB64" s="111"/>
      <c r="CC64" s="106"/>
      <c r="CD64" s="101"/>
      <c r="CE64" s="102"/>
      <c r="CF64" s="108"/>
      <c r="CG64" s="111"/>
      <c r="CL64" s="6"/>
      <c r="CN64" s="8"/>
      <c r="CO64" s="8"/>
      <c r="CP64" s="8"/>
      <c r="CQ64" s="8"/>
    </row>
    <row r="65" spans="2:95" s="5" customFormat="1" ht="25.5" customHeight="1" thickBot="1">
      <c r="B65" s="523" t="s">
        <v>231</v>
      </c>
      <c r="C65" s="523"/>
      <c r="D65" s="523"/>
      <c r="E65" s="523"/>
      <c r="F65" s="524"/>
      <c r="G65" s="524"/>
      <c r="H65" s="114"/>
      <c r="I65" s="57"/>
      <c r="M65" s="4"/>
      <c r="O65" s="113"/>
      <c r="P65" s="124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CB65" s="111"/>
      <c r="CC65" s="106"/>
      <c r="CD65" s="101"/>
      <c r="CE65" s="102"/>
      <c r="CF65" s="108"/>
      <c r="CG65" s="111"/>
      <c r="CL65" s="6"/>
      <c r="CN65" s="8"/>
      <c r="CO65" s="8"/>
      <c r="CP65" s="8"/>
      <c r="CQ65" s="8"/>
    </row>
    <row r="66" spans="2:95" s="5" customFormat="1" ht="15" customHeight="1" thickBot="1">
      <c r="B66" s="605" t="s">
        <v>161</v>
      </c>
      <c r="C66" s="606"/>
      <c r="D66" s="601" t="s">
        <v>156</v>
      </c>
      <c r="E66" s="602"/>
      <c r="F66" s="125"/>
      <c r="H66" s="114"/>
      <c r="I66" s="57"/>
      <c r="M66" s="4"/>
      <c r="O66" s="113"/>
      <c r="P66" s="124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CB66" s="111"/>
      <c r="CC66" s="106"/>
      <c r="CD66" s="101"/>
      <c r="CE66" s="102"/>
      <c r="CF66" s="108"/>
      <c r="CG66" s="111"/>
      <c r="CL66" s="6"/>
      <c r="CN66" s="8"/>
      <c r="CO66" s="8"/>
      <c r="CP66" s="8"/>
      <c r="CQ66" s="8"/>
    </row>
    <row r="67" spans="2:95" s="5" customFormat="1" ht="15" customHeight="1">
      <c r="B67" s="603" t="s">
        <v>250</v>
      </c>
      <c r="C67" s="604"/>
      <c r="D67" s="599">
        <v>6000</v>
      </c>
      <c r="E67" s="600"/>
      <c r="F67" s="126"/>
      <c r="H67" s="114"/>
      <c r="I67" s="57"/>
      <c r="M67" s="4"/>
      <c r="O67" s="113"/>
      <c r="P67" s="124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CB67" s="111"/>
      <c r="CC67" s="106"/>
      <c r="CD67" s="101"/>
      <c r="CE67" s="102"/>
      <c r="CF67" s="108"/>
      <c r="CG67" s="111"/>
      <c r="CL67" s="6"/>
      <c r="CN67" s="8"/>
      <c r="CO67" s="8"/>
      <c r="CP67" s="8"/>
      <c r="CQ67" s="8"/>
    </row>
    <row r="68" spans="2:95" s="5" customFormat="1" ht="32.25" customHeight="1" thickBot="1">
      <c r="B68" s="592" t="s">
        <v>238</v>
      </c>
      <c r="C68" s="593"/>
      <c r="D68" s="588"/>
      <c r="E68" s="589"/>
      <c r="F68" s="125"/>
      <c r="H68" s="114"/>
      <c r="I68" s="57"/>
      <c r="M68" s="4"/>
      <c r="O68" s="127"/>
      <c r="P68" s="128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CB68" s="111"/>
      <c r="CC68" s="106"/>
      <c r="CD68" s="101"/>
      <c r="CE68" s="102"/>
      <c r="CF68" s="108"/>
      <c r="CG68" s="111"/>
      <c r="CL68" s="6"/>
      <c r="CN68" s="8"/>
      <c r="CO68" s="8"/>
      <c r="CP68" s="8"/>
      <c r="CQ68" s="8"/>
    </row>
    <row r="69" spans="6:95" s="5" customFormat="1" ht="6.75" customHeight="1">
      <c r="F69" s="129"/>
      <c r="G69" s="111"/>
      <c r="H69" s="114"/>
      <c r="I69" s="57"/>
      <c r="M69" s="4"/>
      <c r="O69" s="127"/>
      <c r="P69" s="130"/>
      <c r="CB69" s="111"/>
      <c r="CC69" s="106"/>
      <c r="CD69" s="101"/>
      <c r="CE69" s="102"/>
      <c r="CF69" s="108"/>
      <c r="CG69" s="111"/>
      <c r="CL69" s="6"/>
      <c r="CN69" s="8"/>
      <c r="CO69" s="8"/>
      <c r="CP69" s="8"/>
      <c r="CQ69" s="8"/>
    </row>
    <row r="70" spans="9:95" s="5" customFormat="1" ht="15.75" customHeight="1" thickBot="1">
      <c r="I70" s="57"/>
      <c r="M70" s="4"/>
      <c r="O70" s="130"/>
      <c r="P70" s="130"/>
      <c r="CB70" s="111"/>
      <c r="CC70" s="106"/>
      <c r="CD70" s="101"/>
      <c r="CE70" s="102"/>
      <c r="CF70" s="108"/>
      <c r="CG70" s="111"/>
      <c r="CL70" s="6"/>
      <c r="CN70" s="8"/>
      <c r="CO70" s="8"/>
      <c r="CP70" s="8"/>
      <c r="CQ70" s="8"/>
    </row>
    <row r="71" spans="2:95" s="5" customFormat="1" ht="33" customHeight="1" thickBot="1">
      <c r="B71" s="544" t="s">
        <v>239</v>
      </c>
      <c r="C71" s="545"/>
      <c r="D71" s="545"/>
      <c r="E71" s="546"/>
      <c r="F71" s="131" t="s">
        <v>240</v>
      </c>
      <c r="G71" s="131" t="s">
        <v>241</v>
      </c>
      <c r="H71" s="131" t="s">
        <v>208</v>
      </c>
      <c r="I71" s="131" t="s">
        <v>209</v>
      </c>
      <c r="M71" s="4"/>
      <c r="X71" s="2" t="s">
        <v>204</v>
      </c>
      <c r="Y71" s="583">
        <f>SUM(F6:F19)</f>
        <v>0</v>
      </c>
      <c r="Z71" s="583"/>
      <c r="AA71" s="584"/>
      <c r="CB71" s="111"/>
      <c r="CC71" s="106"/>
      <c r="CD71" s="101"/>
      <c r="CE71" s="102"/>
      <c r="CF71" s="108"/>
      <c r="CG71" s="111"/>
      <c r="CL71" s="6"/>
      <c r="CN71" s="8"/>
      <c r="CO71" s="8"/>
      <c r="CP71" s="8"/>
      <c r="CQ71" s="8"/>
    </row>
    <row r="72" spans="2:95" s="5" customFormat="1" ht="15" customHeight="1" thickBot="1">
      <c r="B72" s="535" t="s">
        <v>68</v>
      </c>
      <c r="C72" s="497" t="s">
        <v>29</v>
      </c>
      <c r="D72" s="498"/>
      <c r="E72" s="499"/>
      <c r="F72" s="132">
        <f aca="true" t="shared" si="17" ref="F72:G85">IF(F6=0,"",F6)</f>
      </c>
      <c r="G72" s="132">
        <f t="shared" si="17"/>
      </c>
      <c r="H72" s="133">
        <f aca="true" t="shared" si="18" ref="H72:H85">IF(AD6=0,"",AD6)</f>
      </c>
      <c r="I72" s="134">
        <f aca="true" t="shared" si="19" ref="I72:I85">IF(AND(F72&lt;&gt;O72,AE6=0),"Андеррайтер",AE6)</f>
        <v>0</v>
      </c>
      <c r="M72" s="4"/>
      <c r="O72" s="27"/>
      <c r="X72" s="135" t="s">
        <v>213</v>
      </c>
      <c r="Y72" s="569">
        <f>SUM(I72:I85)</f>
        <v>0</v>
      </c>
      <c r="Z72" s="570"/>
      <c r="AA72" s="571"/>
      <c r="CB72" s="111"/>
      <c r="CC72" s="106"/>
      <c r="CD72" s="101"/>
      <c r="CE72" s="102"/>
      <c r="CF72" s="108"/>
      <c r="CG72" s="111"/>
      <c r="CL72" s="6"/>
      <c r="CN72" s="8"/>
      <c r="CO72" s="8"/>
      <c r="CP72" s="8"/>
      <c r="CQ72" s="8"/>
    </row>
    <row r="73" spans="2:95" s="5" customFormat="1" ht="15" customHeight="1">
      <c r="B73" s="536"/>
      <c r="C73" s="494" t="s">
        <v>30</v>
      </c>
      <c r="D73" s="495"/>
      <c r="E73" s="496"/>
      <c r="F73" s="136">
        <f t="shared" si="17"/>
      </c>
      <c r="G73" s="136">
        <f t="shared" si="17"/>
      </c>
      <c r="H73" s="137">
        <f t="shared" si="18"/>
      </c>
      <c r="I73" s="138">
        <f t="shared" si="19"/>
        <v>0</v>
      </c>
      <c r="M73" s="4"/>
      <c r="O73" s="139"/>
      <c r="CB73" s="111"/>
      <c r="CC73" s="106"/>
      <c r="CD73" s="101"/>
      <c r="CE73" s="102"/>
      <c r="CF73" s="108"/>
      <c r="CG73" s="111"/>
      <c r="CL73" s="6"/>
      <c r="CN73" s="8"/>
      <c r="CO73" s="8"/>
      <c r="CP73" s="8"/>
      <c r="CQ73" s="8"/>
    </row>
    <row r="74" spans="2:95" s="5" customFormat="1" ht="15" customHeight="1">
      <c r="B74" s="536"/>
      <c r="C74" s="487" t="s">
        <v>31</v>
      </c>
      <c r="D74" s="488"/>
      <c r="E74" s="489"/>
      <c r="F74" s="136">
        <f t="shared" si="17"/>
      </c>
      <c r="G74" s="136">
        <f t="shared" si="17"/>
      </c>
      <c r="H74" s="137">
        <f t="shared" si="18"/>
      </c>
      <c r="I74" s="138">
        <f t="shared" si="19"/>
        <v>0</v>
      </c>
      <c r="M74" s="4"/>
      <c r="O74" s="139"/>
      <c r="CB74" s="111"/>
      <c r="CC74" s="106"/>
      <c r="CD74" s="101"/>
      <c r="CE74" s="102"/>
      <c r="CF74" s="108"/>
      <c r="CG74" s="111"/>
      <c r="CL74" s="6"/>
      <c r="CN74" s="8"/>
      <c r="CO74" s="8"/>
      <c r="CP74" s="8"/>
      <c r="CQ74" s="8"/>
    </row>
    <row r="75" spans="2:95" s="5" customFormat="1" ht="15" customHeight="1">
      <c r="B75" s="536"/>
      <c r="C75" s="487" t="s">
        <v>32</v>
      </c>
      <c r="D75" s="488"/>
      <c r="E75" s="489"/>
      <c r="F75" s="136">
        <f t="shared" si="17"/>
      </c>
      <c r="G75" s="136">
        <f t="shared" si="17"/>
      </c>
      <c r="H75" s="137">
        <f t="shared" si="18"/>
      </c>
      <c r="I75" s="138">
        <f t="shared" si="19"/>
        <v>0</v>
      </c>
      <c r="M75" s="4"/>
      <c r="O75" s="139"/>
      <c r="CB75" s="111"/>
      <c r="CC75" s="106"/>
      <c r="CD75" s="101"/>
      <c r="CE75" s="102"/>
      <c r="CF75" s="108"/>
      <c r="CG75" s="111"/>
      <c r="CL75" s="6"/>
      <c r="CN75" s="8"/>
      <c r="CO75" s="8"/>
      <c r="CP75" s="8"/>
      <c r="CQ75" s="8"/>
    </row>
    <row r="76" spans="2:95" s="5" customFormat="1" ht="15" customHeight="1">
      <c r="B76" s="536"/>
      <c r="C76" s="487" t="s">
        <v>33</v>
      </c>
      <c r="D76" s="488"/>
      <c r="E76" s="489"/>
      <c r="F76" s="136">
        <f t="shared" si="17"/>
      </c>
      <c r="G76" s="136">
        <f t="shared" si="17"/>
      </c>
      <c r="H76" s="137">
        <f t="shared" si="18"/>
      </c>
      <c r="I76" s="138">
        <f t="shared" si="19"/>
        <v>0</v>
      </c>
      <c r="M76" s="4"/>
      <c r="O76" s="139"/>
      <c r="CB76" s="111"/>
      <c r="CC76" s="106"/>
      <c r="CD76" s="101"/>
      <c r="CE76" s="102"/>
      <c r="CF76" s="108"/>
      <c r="CG76" s="111"/>
      <c r="CL76" s="6"/>
      <c r="CN76" s="8"/>
      <c r="CO76" s="8"/>
      <c r="CP76" s="8"/>
      <c r="CQ76" s="8"/>
    </row>
    <row r="77" spans="2:95" s="5" customFormat="1" ht="15" customHeight="1" thickBot="1">
      <c r="B77" s="537"/>
      <c r="C77" s="484" t="s">
        <v>34</v>
      </c>
      <c r="D77" s="485"/>
      <c r="E77" s="486"/>
      <c r="F77" s="140">
        <f t="shared" si="17"/>
      </c>
      <c r="G77" s="140">
        <f t="shared" si="17"/>
      </c>
      <c r="H77" s="141">
        <f t="shared" si="18"/>
      </c>
      <c r="I77" s="142">
        <f t="shared" si="19"/>
        <v>0</v>
      </c>
      <c r="M77" s="4"/>
      <c r="O77" s="139"/>
      <c r="CB77" s="111"/>
      <c r="CC77" s="106"/>
      <c r="CD77" s="101"/>
      <c r="CE77" s="102"/>
      <c r="CF77" s="108"/>
      <c r="CG77" s="111"/>
      <c r="CL77" s="6"/>
      <c r="CN77" s="8"/>
      <c r="CO77" s="8"/>
      <c r="CP77" s="8"/>
      <c r="CQ77" s="8"/>
    </row>
    <row r="78" spans="2:95" s="5" customFormat="1" ht="15" customHeight="1">
      <c r="B78" s="535" t="s">
        <v>69</v>
      </c>
      <c r="C78" s="479" t="s">
        <v>35</v>
      </c>
      <c r="D78" s="480"/>
      <c r="E78" s="481"/>
      <c r="F78" s="132">
        <f t="shared" si="17"/>
      </c>
      <c r="G78" s="132">
        <f t="shared" si="17"/>
      </c>
      <c r="H78" s="133">
        <f t="shared" si="18"/>
      </c>
      <c r="I78" s="134">
        <f t="shared" si="19"/>
        <v>0</v>
      </c>
      <c r="M78" s="4"/>
      <c r="O78" s="139"/>
      <c r="CB78" s="111"/>
      <c r="CC78" s="106"/>
      <c r="CD78" s="101"/>
      <c r="CE78" s="102"/>
      <c r="CF78" s="108"/>
      <c r="CG78" s="111"/>
      <c r="CL78" s="6"/>
      <c r="CN78" s="8"/>
      <c r="CO78" s="8"/>
      <c r="CP78" s="8"/>
      <c r="CQ78" s="8"/>
    </row>
    <row r="79" spans="2:95" s="5" customFormat="1" ht="15" customHeight="1">
      <c r="B79" s="536"/>
      <c r="C79" s="487" t="s">
        <v>36</v>
      </c>
      <c r="D79" s="488"/>
      <c r="E79" s="489"/>
      <c r="F79" s="136">
        <f t="shared" si="17"/>
      </c>
      <c r="G79" s="136">
        <f t="shared" si="17"/>
      </c>
      <c r="H79" s="137">
        <f t="shared" si="18"/>
      </c>
      <c r="I79" s="138">
        <f t="shared" si="19"/>
        <v>0</v>
      </c>
      <c r="M79" s="4"/>
      <c r="O79" s="139"/>
      <c r="CB79" s="111"/>
      <c r="CC79" s="106"/>
      <c r="CD79" s="101"/>
      <c r="CE79" s="102"/>
      <c r="CF79" s="108"/>
      <c r="CG79" s="111"/>
      <c r="CL79" s="6"/>
      <c r="CN79" s="8"/>
      <c r="CO79" s="8"/>
      <c r="CP79" s="8"/>
      <c r="CQ79" s="8"/>
    </row>
    <row r="80" spans="2:95" s="5" customFormat="1" ht="15" customHeight="1">
      <c r="B80" s="536"/>
      <c r="C80" s="487" t="s">
        <v>37</v>
      </c>
      <c r="D80" s="488"/>
      <c r="E80" s="489"/>
      <c r="F80" s="136">
        <f t="shared" si="17"/>
      </c>
      <c r="G80" s="136">
        <f t="shared" si="17"/>
      </c>
      <c r="H80" s="137">
        <f t="shared" si="18"/>
      </c>
      <c r="I80" s="138">
        <f t="shared" si="19"/>
        <v>0</v>
      </c>
      <c r="M80" s="4"/>
      <c r="O80" s="139"/>
      <c r="CB80" s="111"/>
      <c r="CC80" s="106"/>
      <c r="CD80" s="101"/>
      <c r="CE80" s="102"/>
      <c r="CF80" s="108"/>
      <c r="CG80" s="111"/>
      <c r="CL80" s="6"/>
      <c r="CN80" s="8"/>
      <c r="CO80" s="8"/>
      <c r="CP80" s="8"/>
      <c r="CQ80" s="8"/>
    </row>
    <row r="81" spans="2:95" s="5" customFormat="1" ht="15" customHeight="1">
      <c r="B81" s="536"/>
      <c r="C81" s="487" t="s">
        <v>38</v>
      </c>
      <c r="D81" s="488"/>
      <c r="E81" s="489"/>
      <c r="F81" s="136">
        <f t="shared" si="17"/>
      </c>
      <c r="G81" s="136">
        <f t="shared" si="17"/>
      </c>
      <c r="H81" s="137">
        <f t="shared" si="18"/>
      </c>
      <c r="I81" s="138">
        <f t="shared" si="19"/>
        <v>0</v>
      </c>
      <c r="M81" s="4"/>
      <c r="O81" s="139"/>
      <c r="CB81" s="111"/>
      <c r="CC81" s="106"/>
      <c r="CD81" s="101"/>
      <c r="CE81" s="102"/>
      <c r="CF81" s="108"/>
      <c r="CG81" s="111"/>
      <c r="CL81" s="6"/>
      <c r="CN81" s="8"/>
      <c r="CO81" s="8"/>
      <c r="CP81" s="8"/>
      <c r="CQ81" s="8"/>
    </row>
    <row r="82" spans="2:95" s="5" customFormat="1" ht="15" customHeight="1" thickBot="1">
      <c r="B82" s="537"/>
      <c r="C82" s="484" t="s">
        <v>39</v>
      </c>
      <c r="D82" s="485"/>
      <c r="E82" s="486"/>
      <c r="F82" s="140">
        <f t="shared" si="17"/>
      </c>
      <c r="G82" s="140">
        <f t="shared" si="17"/>
      </c>
      <c r="H82" s="141">
        <f t="shared" si="18"/>
      </c>
      <c r="I82" s="142">
        <f t="shared" si="19"/>
        <v>0</v>
      </c>
      <c r="M82" s="4"/>
      <c r="O82" s="139"/>
      <c r="CB82" s="111"/>
      <c r="CC82" s="106"/>
      <c r="CD82" s="101"/>
      <c r="CE82" s="102"/>
      <c r="CF82" s="108"/>
      <c r="CG82" s="111"/>
      <c r="CL82" s="6"/>
      <c r="CN82" s="8"/>
      <c r="CO82" s="8"/>
      <c r="CP82" s="8"/>
      <c r="CQ82" s="8"/>
    </row>
    <row r="83" spans="2:95" s="5" customFormat="1" ht="54.75" customHeight="1" thickBot="1">
      <c r="B83" s="535" t="s">
        <v>70</v>
      </c>
      <c r="C83" s="512" t="s">
        <v>217</v>
      </c>
      <c r="D83" s="513"/>
      <c r="E83" s="514"/>
      <c r="F83" s="132">
        <f t="shared" si="17"/>
      </c>
      <c r="G83" s="132">
        <f t="shared" si="17"/>
      </c>
      <c r="H83" s="133">
        <f t="shared" si="18"/>
      </c>
      <c r="I83" s="134">
        <f>IF(AND(F83&lt;&gt;O83,AE17=0),"Андеррайтер",AE17)</f>
        <v>0</v>
      </c>
      <c r="M83" s="4"/>
      <c r="O83" s="143"/>
      <c r="P83" s="24" t="str">
        <f>IF(OR(I72="Андеррайтер",I73="Андеррайтер",I74="Андеррайтер",I75="Андеррайтер",I76="Андеррайтер",I77="Андеррайтер",I78="Андеррайтер",I79="Андеррайтер",I80="Андеррайтер",I81="Андеррайтер",I82="Андеррайтер",I83="Андеррайтер",I84="Андеррайтер",I85="Андеррайтер",H6="Ошибка!",H7="Ошибка!",H8="Ошибка!",H9="Ошибка!",H10="Ошибка!",H11="Ошибка!",H12="Ошибка!",H13="Ошибка!",H14="Ошибка!",H15="Ошибка!",H16="Ошибка!",H17="Ошибка!",H18="Ошибка!",H19="Ошибка!"),"Андеррайтер","х")</f>
        <v>х</v>
      </c>
      <c r="X83" s="144"/>
      <c r="CB83" s="111"/>
      <c r="CC83" s="106"/>
      <c r="CD83" s="101"/>
      <c r="CE83" s="102"/>
      <c r="CF83" s="108"/>
      <c r="CG83" s="111"/>
      <c r="CL83" s="6"/>
      <c r="CN83" s="8"/>
      <c r="CO83" s="8"/>
      <c r="CP83" s="8"/>
      <c r="CQ83" s="8"/>
    </row>
    <row r="84" spans="2:95" s="5" customFormat="1" ht="15" customHeight="1">
      <c r="B84" s="536"/>
      <c r="C84" s="509" t="s">
        <v>218</v>
      </c>
      <c r="D84" s="510"/>
      <c r="E84" s="511"/>
      <c r="F84" s="136">
        <f t="shared" si="17"/>
      </c>
      <c r="G84" s="136">
        <f t="shared" si="17"/>
      </c>
      <c r="H84" s="137">
        <f t="shared" si="18"/>
      </c>
      <c r="I84" s="138">
        <f t="shared" si="19"/>
        <v>0</v>
      </c>
      <c r="M84" s="4"/>
      <c r="O84" s="139"/>
      <c r="CB84" s="111"/>
      <c r="CC84" s="106"/>
      <c r="CD84" s="101"/>
      <c r="CE84" s="102"/>
      <c r="CF84" s="108"/>
      <c r="CG84" s="111"/>
      <c r="CL84" s="6"/>
      <c r="CN84" s="8"/>
      <c r="CO84" s="8"/>
      <c r="CP84" s="8"/>
      <c r="CQ84" s="8"/>
    </row>
    <row r="85" spans="2:95" s="5" customFormat="1" ht="29.25" customHeight="1" thickBot="1">
      <c r="B85" s="537"/>
      <c r="C85" s="506" t="s">
        <v>219</v>
      </c>
      <c r="D85" s="507"/>
      <c r="E85" s="508"/>
      <c r="F85" s="140">
        <f t="shared" si="17"/>
      </c>
      <c r="G85" s="140">
        <f t="shared" si="17"/>
      </c>
      <c r="H85" s="141">
        <f t="shared" si="18"/>
      </c>
      <c r="I85" s="142">
        <f t="shared" si="19"/>
        <v>0</v>
      </c>
      <c r="M85" s="4"/>
      <c r="O85" s="139"/>
      <c r="CB85" s="111"/>
      <c r="CC85" s="106"/>
      <c r="CD85" s="101"/>
      <c r="CE85" s="102"/>
      <c r="CF85" s="108"/>
      <c r="CG85" s="111"/>
      <c r="CL85" s="6"/>
      <c r="CN85" s="8"/>
      <c r="CO85" s="8"/>
      <c r="CP85" s="8"/>
      <c r="CQ85" s="8"/>
    </row>
    <row r="86" spans="4:95" s="5" customFormat="1" ht="19.5" customHeight="1" thickBot="1">
      <c r="D86" s="482" t="s">
        <v>237</v>
      </c>
      <c r="E86" s="483"/>
      <c r="F86" s="145">
        <f>IF(P21=0,"",P21)</f>
      </c>
      <c r="G86" s="145">
        <f>IF(Q21=0,"",Q21)</f>
      </c>
      <c r="I86" s="146">
        <f>IF(AE20=0,"",AE20)</f>
      </c>
      <c r="M86" s="4"/>
      <c r="O86" s="139"/>
      <c r="CB86" s="111"/>
      <c r="CC86" s="106"/>
      <c r="CD86" s="101"/>
      <c r="CE86" s="102"/>
      <c r="CF86" s="108"/>
      <c r="CG86" s="111"/>
      <c r="CL86" s="6"/>
      <c r="CN86" s="8"/>
      <c r="CO86" s="8"/>
      <c r="CP86" s="8"/>
      <c r="CQ86" s="8"/>
    </row>
    <row r="87" spans="4:95" s="5" customFormat="1" ht="12.75" customHeight="1">
      <c r="D87" s="147"/>
      <c r="E87" s="147"/>
      <c r="F87" s="148"/>
      <c r="G87" s="148"/>
      <c r="I87" s="149"/>
      <c r="O87" s="113"/>
      <c r="CB87" s="111"/>
      <c r="CC87" s="106"/>
      <c r="CD87" s="101"/>
      <c r="CE87" s="102"/>
      <c r="CF87" s="108"/>
      <c r="CG87" s="111"/>
      <c r="CN87" s="8"/>
      <c r="CO87" s="8"/>
      <c r="CP87" s="8"/>
      <c r="CQ87" s="8"/>
    </row>
    <row r="88" spans="18:85" ht="9" customHeight="1">
      <c r="R88" s="3"/>
      <c r="S88" s="3"/>
      <c r="T88" s="3"/>
      <c r="U88" s="3"/>
      <c r="V88" s="3"/>
      <c r="W88" s="3"/>
      <c r="X88" s="3"/>
      <c r="Y88" s="3"/>
      <c r="CB88" s="10"/>
      <c r="CC88" s="106"/>
      <c r="CD88" s="150"/>
      <c r="CE88" s="102"/>
      <c r="CF88" s="108"/>
      <c r="CG88" s="10"/>
    </row>
    <row r="89" spans="2:86" ht="184.5" customHeight="1">
      <c r="B89" s="493" t="str">
        <f>IF(P83="Андеррайтер",P35,O89)</f>
        <v>Внимание! Тарифы, рассчитанные с помощью настоящего калькулятора являются предварительными (или ориентировочными). Они могут быть скорректированы как в большую, так и в меньшую стороны лицом, обладающим необходимыми андеррайтинговыми полномочиями, при определении окончательных тарифов.</v>
      </c>
      <c r="C89" s="493"/>
      <c r="D89" s="493"/>
      <c r="E89" s="493"/>
      <c r="F89" s="493"/>
      <c r="G89" s="493"/>
      <c r="H89" s="493"/>
      <c r="I89" s="493"/>
      <c r="O89" s="151" t="s">
        <v>246</v>
      </c>
      <c r="CA89" s="10"/>
      <c r="CB89" s="10"/>
      <c r="CC89" s="93"/>
      <c r="CD89" s="93"/>
      <c r="CE89" s="94"/>
      <c r="CF89" s="95"/>
      <c r="CG89" s="10"/>
      <c r="CH89" s="10"/>
    </row>
    <row r="90" spans="13:148" s="5" customFormat="1" ht="20.25" customHeight="1">
      <c r="M90" s="4"/>
      <c r="CA90" s="111"/>
      <c r="CB90" s="111"/>
      <c r="CC90" s="152"/>
      <c r="CD90" s="152"/>
      <c r="CE90" s="98"/>
      <c r="CF90" s="99"/>
      <c r="CG90" s="111"/>
      <c r="CH90" s="111"/>
      <c r="CL90" s="6"/>
      <c r="CN90" s="8"/>
      <c r="CO90" s="8"/>
      <c r="CP90" s="8"/>
      <c r="CQ90" s="8"/>
      <c r="DD90" s="3"/>
      <c r="DE90" s="3"/>
      <c r="DF90" s="3"/>
      <c r="DG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9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</row>
    <row r="91" spans="13:148" s="5" customFormat="1" ht="22.5" customHeight="1">
      <c r="M91" s="4"/>
      <c r="CA91" s="111"/>
      <c r="CB91" s="111"/>
      <c r="CC91" s="152"/>
      <c r="CD91" s="152"/>
      <c r="CE91" s="98"/>
      <c r="CF91" s="99"/>
      <c r="CG91" s="111"/>
      <c r="CH91" s="111"/>
      <c r="CL91" s="6"/>
      <c r="CN91" s="8"/>
      <c r="CO91" s="8"/>
      <c r="CP91" s="8"/>
      <c r="CQ91" s="8"/>
      <c r="DD91" s="3"/>
      <c r="DE91" s="3"/>
      <c r="DF91" s="3"/>
      <c r="DG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9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</row>
    <row r="92" spans="79:106" ht="23.25" customHeight="1">
      <c r="CA92" s="10"/>
      <c r="CB92" s="10"/>
      <c r="CG92" s="10"/>
      <c r="CH92" s="10"/>
      <c r="DA92" s="94"/>
      <c r="DB92" s="95"/>
    </row>
    <row r="93" spans="79:106" ht="23.25" customHeight="1">
      <c r="CA93" s="10"/>
      <c r="CB93" s="10"/>
      <c r="CG93" s="10"/>
      <c r="CH93" s="10"/>
      <c r="DA93" s="94"/>
      <c r="DB93" s="153"/>
    </row>
    <row r="94" spans="9:106" ht="23.25" customHeight="1">
      <c r="I94" s="154"/>
      <c r="CA94" s="10"/>
      <c r="CB94" s="10"/>
      <c r="CG94" s="10"/>
      <c r="CH94" s="10"/>
      <c r="DA94" s="94"/>
      <c r="DB94" s="95"/>
    </row>
    <row r="95" spans="9:106" ht="23.25" customHeight="1">
      <c r="I95" s="154"/>
      <c r="CA95" s="10"/>
      <c r="CB95" s="10"/>
      <c r="CG95" s="10"/>
      <c r="CH95" s="10"/>
      <c r="DA95" s="94"/>
      <c r="DB95" s="95"/>
    </row>
    <row r="96" spans="9:106" ht="23.25" customHeight="1">
      <c r="I96" s="155"/>
      <c r="CA96" s="10"/>
      <c r="CB96" s="10"/>
      <c r="CG96" s="10"/>
      <c r="CH96" s="10"/>
      <c r="DA96" s="94"/>
      <c r="DB96" s="95"/>
    </row>
    <row r="97" spans="79:106" ht="23.25" customHeight="1">
      <c r="CA97" s="10"/>
      <c r="CB97" s="10"/>
      <c r="CG97" s="10"/>
      <c r="CH97" s="10"/>
      <c r="CN97" s="156"/>
      <c r="CO97" s="156"/>
      <c r="CP97" s="156"/>
      <c r="CQ97" s="157"/>
      <c r="CR97" s="10"/>
      <c r="CS97" s="10"/>
      <c r="DA97" s="94"/>
      <c r="DB97" s="95"/>
    </row>
    <row r="98" spans="79:106" ht="23.25" customHeight="1">
      <c r="CA98" s="10"/>
      <c r="CB98" s="10"/>
      <c r="CG98" s="10"/>
      <c r="CH98" s="10"/>
      <c r="CN98" s="156"/>
      <c r="CO98" s="156"/>
      <c r="CP98" s="156"/>
      <c r="CQ98" s="157"/>
      <c r="CR98" s="10"/>
      <c r="CS98" s="10"/>
      <c r="DA98" s="94"/>
      <c r="DB98" s="95"/>
    </row>
    <row r="99" spans="79:106" ht="23.25" customHeight="1">
      <c r="CA99" s="10"/>
      <c r="CB99" s="10"/>
      <c r="CG99" s="10"/>
      <c r="CH99" s="10"/>
      <c r="CN99" s="156"/>
      <c r="CO99" s="156"/>
      <c r="CP99" s="156"/>
      <c r="CQ99" s="157"/>
      <c r="CR99" s="10"/>
      <c r="CS99" s="10"/>
      <c r="DA99" s="94"/>
      <c r="DB99" s="95"/>
    </row>
    <row r="100" spans="79:106" ht="23.25" customHeight="1">
      <c r="CA100" s="10"/>
      <c r="CB100" s="10"/>
      <c r="CG100" s="10"/>
      <c r="CH100" s="10"/>
      <c r="CN100" s="43"/>
      <c r="CO100" s="158"/>
      <c r="CP100" s="156"/>
      <c r="CQ100" s="157"/>
      <c r="CR100" s="10"/>
      <c r="CS100" s="10"/>
      <c r="DA100" s="94"/>
      <c r="DB100" s="95"/>
    </row>
    <row r="101" spans="79:106" ht="23.25" customHeight="1">
      <c r="CA101" s="10"/>
      <c r="CB101" s="10"/>
      <c r="CG101" s="10"/>
      <c r="CH101" s="10"/>
      <c r="CN101" s="43"/>
      <c r="CO101" s="156"/>
      <c r="CP101" s="156"/>
      <c r="CQ101" s="157"/>
      <c r="CR101" s="10"/>
      <c r="CS101" s="10"/>
      <c r="DA101" s="94"/>
      <c r="DB101" s="95"/>
    </row>
    <row r="102" spans="79:106" ht="23.25" customHeight="1" thickBot="1">
      <c r="CA102" s="10"/>
      <c r="CB102" s="10"/>
      <c r="CG102" s="10"/>
      <c r="CH102" s="10"/>
      <c r="CN102" s="43"/>
      <c r="CO102" s="156"/>
      <c r="CP102" s="156"/>
      <c r="CQ102" s="157"/>
      <c r="CR102" s="10"/>
      <c r="CS102" s="10"/>
      <c r="CY102" s="93"/>
      <c r="CZ102" s="93"/>
      <c r="DA102" s="94"/>
      <c r="DB102" s="159"/>
    </row>
    <row r="103" spans="79:106" ht="23.25" customHeight="1" thickBot="1">
      <c r="CA103" s="10"/>
      <c r="CB103" s="10"/>
      <c r="CG103" s="10"/>
      <c r="CH103" s="10"/>
      <c r="CN103" s="156"/>
      <c r="CO103" s="156"/>
      <c r="CP103" s="156"/>
      <c r="CQ103" s="157"/>
      <c r="CR103" s="10"/>
      <c r="CS103" s="10"/>
      <c r="CY103" s="160" t="s">
        <v>172</v>
      </c>
      <c r="CZ103" s="161"/>
      <c r="DA103" s="94"/>
      <c r="DB103" s="153"/>
    </row>
    <row r="104" spans="17:106" ht="73.5" customHeight="1" thickBot="1">
      <c r="Q104" s="162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CA104" s="10"/>
      <c r="CB104" s="10"/>
      <c r="CG104" s="10"/>
      <c r="CH104" s="10"/>
      <c r="CN104" s="156"/>
      <c r="CO104" s="157"/>
      <c r="CP104" s="157"/>
      <c r="CQ104" s="157"/>
      <c r="CR104" s="10"/>
      <c r="CS104" s="10"/>
      <c r="CY104" s="163"/>
      <c r="CZ104" s="93"/>
      <c r="DA104" s="94"/>
      <c r="DB104" s="159"/>
    </row>
    <row r="105" spans="79:106" ht="16.5" customHeight="1" thickBot="1">
      <c r="CA105" s="10"/>
      <c r="CB105" s="10"/>
      <c r="CG105" s="10"/>
      <c r="CH105" s="10"/>
      <c r="CO105" s="157"/>
      <c r="CP105" s="157"/>
      <c r="CQ105" s="157"/>
      <c r="CY105" s="164" t="s">
        <v>171</v>
      </c>
      <c r="CZ105" s="165"/>
      <c r="DA105" s="94"/>
      <c r="DB105" s="159"/>
    </row>
    <row r="106" spans="79:106" ht="30.75" customHeight="1" thickBot="1">
      <c r="CA106" s="10"/>
      <c r="CB106" s="10"/>
      <c r="CG106" s="10"/>
      <c r="CH106" s="10"/>
      <c r="CO106" s="157"/>
      <c r="CP106" s="157"/>
      <c r="CQ106" s="157"/>
      <c r="CY106" s="166" t="s">
        <v>170</v>
      </c>
      <c r="CZ106" s="165"/>
      <c r="DA106" s="94"/>
      <c r="DB106" s="153" t="s">
        <v>173</v>
      </c>
    </row>
    <row r="107" spans="79:95" ht="27.75" customHeight="1">
      <c r="CA107" s="10"/>
      <c r="CB107" s="10"/>
      <c r="CC107" s="10"/>
      <c r="CD107" s="10"/>
      <c r="CE107" s="10"/>
      <c r="CF107" s="10"/>
      <c r="CG107" s="10"/>
      <c r="CH107" s="10"/>
      <c r="CO107" s="157"/>
      <c r="CP107" s="157"/>
      <c r="CQ107" s="157"/>
    </row>
    <row r="108" spans="79:95" ht="16.5" customHeight="1">
      <c r="CA108" s="10"/>
      <c r="CB108" s="10"/>
      <c r="CC108" s="10"/>
      <c r="CD108" s="10"/>
      <c r="CE108" s="10"/>
      <c r="CF108" s="10"/>
      <c r="CG108" s="10"/>
      <c r="CH108" s="10"/>
      <c r="CO108" s="167"/>
      <c r="CP108" s="157"/>
      <c r="CQ108" s="157"/>
    </row>
    <row r="109" spans="84:95" ht="11.25" customHeight="1">
      <c r="CF109" s="10"/>
      <c r="CG109" s="10"/>
      <c r="CH109" s="10"/>
      <c r="CO109" s="168"/>
      <c r="CP109" s="157"/>
      <c r="CQ109" s="157"/>
    </row>
    <row r="110" spans="93:95" ht="11.25" customHeight="1">
      <c r="CO110" s="168"/>
      <c r="CP110" s="157"/>
      <c r="CQ110" s="157"/>
    </row>
    <row r="111" spans="82:95" ht="11.25" customHeight="1">
      <c r="CD111" s="169"/>
      <c r="CO111" s="157"/>
      <c r="CP111" s="157"/>
      <c r="CQ111" s="157"/>
    </row>
    <row r="112" spans="93:95" ht="11.25" customHeight="1">
      <c r="CO112" s="157"/>
      <c r="CP112" s="157"/>
      <c r="CQ112" s="157"/>
    </row>
    <row r="113" spans="93:95" ht="11.25" customHeight="1">
      <c r="CO113" s="157"/>
      <c r="CP113" s="157"/>
      <c r="CQ113" s="157"/>
    </row>
    <row r="114" spans="93:95" ht="11.25" customHeight="1">
      <c r="CO114" s="157"/>
      <c r="CP114" s="157"/>
      <c r="CQ114" s="157"/>
    </row>
    <row r="115" spans="93:95" ht="18" customHeight="1">
      <c r="CO115" s="157"/>
      <c r="CP115" s="157"/>
      <c r="CQ115" s="157"/>
    </row>
    <row r="116" ht="11.25" customHeight="1"/>
    <row r="117" ht="11.25" customHeight="1"/>
    <row r="118" spans="13:95" s="5" customFormat="1" ht="14.25">
      <c r="M118" s="4"/>
      <c r="CL118" s="6"/>
      <c r="CN118" s="8"/>
      <c r="CO118" s="8"/>
      <c r="CP118" s="8"/>
      <c r="CQ118" s="8"/>
    </row>
    <row r="119" spans="97:101" ht="14.25">
      <c r="CS119" s="111"/>
      <c r="CT119" s="111"/>
      <c r="CU119" s="111"/>
      <c r="CV119" s="111"/>
      <c r="CW119" s="111"/>
    </row>
    <row r="120" spans="97:101" ht="14.25">
      <c r="CS120" s="170"/>
      <c r="CT120" s="170"/>
      <c r="CU120" s="170"/>
      <c r="CV120" s="170"/>
      <c r="CW120" s="170"/>
    </row>
    <row r="121" spans="97:110" ht="15" customHeight="1" thickBot="1">
      <c r="CS121" s="111"/>
      <c r="CT121" s="111"/>
      <c r="CU121" s="111"/>
      <c r="CV121" s="111"/>
      <c r="CW121" s="111"/>
      <c r="DF121" s="171" t="s">
        <v>20</v>
      </c>
    </row>
    <row r="122" spans="93:110" ht="25.5" customHeight="1">
      <c r="CO122" s="172" t="s">
        <v>72</v>
      </c>
      <c r="CS122" s="111"/>
      <c r="CT122" s="111"/>
      <c r="CU122" s="111"/>
      <c r="CV122" s="111"/>
      <c r="CW122" s="111"/>
      <c r="DB122" s="10"/>
      <c r="DC122" s="10"/>
      <c r="DE122" s="10"/>
      <c r="DF122" s="171" t="s">
        <v>21</v>
      </c>
    </row>
    <row r="123" spans="93:110" ht="14.25" customHeight="1">
      <c r="CO123" s="173" t="s">
        <v>68</v>
      </c>
      <c r="CS123" s="111"/>
      <c r="CT123" s="111"/>
      <c r="CU123" s="111"/>
      <c r="CV123" s="111"/>
      <c r="CW123" s="111"/>
      <c r="DB123" s="174"/>
      <c r="DC123" s="174"/>
      <c r="DD123" s="10"/>
      <c r="DE123" s="10"/>
      <c r="DF123" s="171" t="s">
        <v>22</v>
      </c>
    </row>
    <row r="124" spans="93:110" ht="18.75" customHeight="1">
      <c r="CO124" s="173" t="s">
        <v>69</v>
      </c>
      <c r="DB124" s="174"/>
      <c r="DC124" s="174"/>
      <c r="DD124" s="10"/>
      <c r="DE124" s="10"/>
      <c r="DF124" s="171" t="s">
        <v>23</v>
      </c>
    </row>
    <row r="125" spans="81:110" ht="15" customHeight="1" thickBot="1">
      <c r="CC125" s="1"/>
      <c r="CO125" s="175" t="s">
        <v>70</v>
      </c>
      <c r="DB125" s="174"/>
      <c r="DC125" s="174"/>
      <c r="DD125" s="10"/>
      <c r="DE125" s="10"/>
      <c r="DF125" s="171" t="s">
        <v>24</v>
      </c>
    </row>
    <row r="126" spans="93:110" ht="14.25">
      <c r="CO126" s="172" t="s">
        <v>72</v>
      </c>
      <c r="DB126" s="169"/>
      <c r="DC126" s="176"/>
      <c r="DF126" s="171" t="s">
        <v>25</v>
      </c>
    </row>
    <row r="127" spans="93:110" ht="14.25">
      <c r="CO127" s="177" t="s">
        <v>73</v>
      </c>
      <c r="DF127" s="171" t="s">
        <v>26</v>
      </c>
    </row>
    <row r="128" spans="93:110" ht="28.5">
      <c r="CO128" s="177" t="s">
        <v>74</v>
      </c>
      <c r="DF128" s="171" t="s">
        <v>27</v>
      </c>
    </row>
    <row r="129" ht="15" thickBot="1">
      <c r="CO129" s="178" t="s">
        <v>75</v>
      </c>
    </row>
    <row r="130" ht="20.25" customHeight="1"/>
    <row r="131" spans="92:124" ht="14.25" customHeight="1">
      <c r="CN131" s="553" t="s">
        <v>14</v>
      </c>
      <c r="CO131" s="553"/>
      <c r="CP131" s="553"/>
      <c r="CQ131" s="553"/>
      <c r="CR131" s="554"/>
      <c r="CS131" s="554"/>
      <c r="CT131" s="554"/>
      <c r="CU131" s="554"/>
      <c r="CV131" s="554"/>
      <c r="CW131" s="554"/>
      <c r="CX131" s="554"/>
      <c r="CY131" s="554"/>
      <c r="CZ131" s="554"/>
      <c r="DA131" s="554"/>
      <c r="DB131" s="554"/>
      <c r="DC131" s="554"/>
      <c r="DD131" s="554"/>
      <c r="DE131" s="554"/>
      <c r="DF131" s="554"/>
      <c r="DG131" s="554"/>
      <c r="DH131" s="554"/>
      <c r="DI131" s="554"/>
      <c r="DJ131" s="554"/>
      <c r="DK131" s="554"/>
      <c r="DL131" s="554"/>
      <c r="DM131" s="554"/>
      <c r="DN131" s="554"/>
      <c r="DO131" s="554"/>
      <c r="DP131" s="554"/>
      <c r="DQ131" s="554"/>
      <c r="DR131" s="554"/>
      <c r="DS131" s="554"/>
      <c r="DT131" s="10"/>
    </row>
    <row r="132" spans="8:124" ht="1.5" customHeight="1" hidden="1">
      <c r="H132" s="7"/>
      <c r="I132" s="7"/>
      <c r="J132" s="7"/>
      <c r="CN132" s="180"/>
      <c r="CO132" s="180"/>
      <c r="CP132" s="180"/>
      <c r="CQ132" s="181"/>
      <c r="CR132" s="182"/>
      <c r="CS132" s="182"/>
      <c r="CT132" s="182"/>
      <c r="CU132" s="182"/>
      <c r="CV132" s="182"/>
      <c r="CW132" s="182"/>
      <c r="CX132" s="182"/>
      <c r="CY132" s="182"/>
      <c r="CZ132" s="182"/>
      <c r="DA132" s="182"/>
      <c r="DB132" s="182"/>
      <c r="DC132" s="183"/>
      <c r="DD132" s="182"/>
      <c r="DE132" s="182"/>
      <c r="DF132" s="182"/>
      <c r="DG132" s="182"/>
      <c r="DH132" s="183"/>
      <c r="DI132" s="182"/>
      <c r="DJ132" s="182"/>
      <c r="DK132" s="182"/>
      <c r="DL132" s="182"/>
      <c r="DM132" s="182"/>
      <c r="DN132" s="182"/>
      <c r="DO132" s="182"/>
      <c r="DP132" s="182"/>
      <c r="DQ132" s="182"/>
      <c r="DR132" s="182"/>
      <c r="DS132" s="182"/>
      <c r="DT132" s="10"/>
    </row>
    <row r="133" spans="13:128" s="7" customFormat="1" ht="29.25" customHeight="1" thickBot="1">
      <c r="M133" s="184"/>
      <c r="N133" s="8"/>
      <c r="O133" s="8"/>
      <c r="P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CL133" s="185"/>
      <c r="CM133" s="8"/>
      <c r="CO133" s="186"/>
      <c r="CP133" s="187"/>
      <c r="CQ133" s="188"/>
      <c r="CR133" s="562" t="s">
        <v>18</v>
      </c>
      <c r="CS133" s="563"/>
      <c r="CT133" s="563"/>
      <c r="CU133" s="563"/>
      <c r="CV133" s="563"/>
      <c r="CW133" s="563"/>
      <c r="CX133" s="563"/>
      <c r="CY133" s="563"/>
      <c r="CZ133" s="563"/>
      <c r="DA133" s="563"/>
      <c r="DB133" s="563"/>
      <c r="DC133" s="563"/>
      <c r="DD133" s="563"/>
      <c r="DE133" s="563"/>
      <c r="DF133" s="563"/>
      <c r="DG133" s="563"/>
      <c r="DH133" s="563"/>
      <c r="DI133" s="563"/>
      <c r="DJ133" s="563"/>
      <c r="DK133" s="563"/>
      <c r="DL133" s="563"/>
      <c r="DM133" s="563"/>
      <c r="DN133" s="563"/>
      <c r="DO133" s="563"/>
      <c r="DP133" s="563"/>
      <c r="DQ133" s="563"/>
      <c r="DR133" s="563"/>
      <c r="DS133" s="564"/>
      <c r="DT133" s="189"/>
      <c r="DX133" s="190"/>
    </row>
    <row r="134" spans="13:128" s="7" customFormat="1" ht="18" customHeight="1" thickBot="1">
      <c r="M134" s="184"/>
      <c r="N134" s="8"/>
      <c r="O134" s="8"/>
      <c r="P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CL134" s="185"/>
      <c r="CM134" s="8"/>
      <c r="CN134" s="191"/>
      <c r="CO134" s="192"/>
      <c r="CP134" s="192"/>
      <c r="CQ134" s="193"/>
      <c r="CR134" s="555" t="s">
        <v>73</v>
      </c>
      <c r="CS134" s="556"/>
      <c r="CT134" s="556"/>
      <c r="CU134" s="556"/>
      <c r="CV134" s="556"/>
      <c r="CW134" s="556"/>
      <c r="CX134" s="556"/>
      <c r="CY134" s="556"/>
      <c r="CZ134" s="556"/>
      <c r="DA134" s="556"/>
      <c r="DB134" s="565"/>
      <c r="DC134" s="64"/>
      <c r="DD134" s="557" t="s">
        <v>74</v>
      </c>
      <c r="DE134" s="558"/>
      <c r="DF134" s="558"/>
      <c r="DG134" s="558"/>
      <c r="DH134" s="194"/>
      <c r="DI134" s="555" t="s">
        <v>75</v>
      </c>
      <c r="DJ134" s="556"/>
      <c r="DK134" s="556"/>
      <c r="DL134" s="556"/>
      <c r="DM134" s="556"/>
      <c r="DN134" s="556"/>
      <c r="DO134" s="556"/>
      <c r="DP134" s="556"/>
      <c r="DQ134" s="556"/>
      <c r="DR134" s="556"/>
      <c r="DS134" s="556"/>
      <c r="DT134" s="195"/>
      <c r="DX134" s="190"/>
    </row>
    <row r="135" spans="2:128" s="7" customFormat="1" ht="67.5" customHeight="1" thickBot="1">
      <c r="B135" s="8"/>
      <c r="C135" s="8"/>
      <c r="D135" s="8"/>
      <c r="E135" s="8"/>
      <c r="F135" s="8"/>
      <c r="G135" s="8"/>
      <c r="H135" s="5"/>
      <c r="I135" s="5"/>
      <c r="J135" s="5"/>
      <c r="M135" s="184"/>
      <c r="N135" s="8"/>
      <c r="O135" s="8"/>
      <c r="P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CL135" s="185"/>
      <c r="CM135" s="8"/>
      <c r="CN135" s="191"/>
      <c r="CO135" s="196"/>
      <c r="CP135" s="196"/>
      <c r="CQ135" s="193"/>
      <c r="CR135" s="623" t="s">
        <v>7</v>
      </c>
      <c r="CS135" s="624"/>
      <c r="CT135" s="624"/>
      <c r="CU135" s="635"/>
      <c r="CV135" s="623" t="s">
        <v>6</v>
      </c>
      <c r="CW135" s="624"/>
      <c r="CX135" s="625"/>
      <c r="CY135" s="631" t="s">
        <v>9</v>
      </c>
      <c r="CZ135" s="632"/>
      <c r="DA135" s="632"/>
      <c r="DB135" s="632"/>
      <c r="DC135" s="197"/>
      <c r="DD135" s="198" t="s">
        <v>19</v>
      </c>
      <c r="DE135" s="199" t="s">
        <v>12</v>
      </c>
      <c r="DF135" s="199" t="s">
        <v>13</v>
      </c>
      <c r="DG135" s="200" t="s">
        <v>8</v>
      </c>
      <c r="DH135" s="201"/>
      <c r="DI135" s="633" t="s">
        <v>7</v>
      </c>
      <c r="DJ135" s="630"/>
      <c r="DK135" s="630"/>
      <c r="DL135" s="630"/>
      <c r="DM135" s="630"/>
      <c r="DN135" s="630"/>
      <c r="DO135" s="630" t="s">
        <v>6</v>
      </c>
      <c r="DP135" s="630"/>
      <c r="DQ135" s="630"/>
      <c r="DR135" s="630"/>
      <c r="DS135" s="202" t="s">
        <v>8</v>
      </c>
      <c r="DT135" s="203"/>
      <c r="DX135" s="190"/>
    </row>
    <row r="136" spans="1:148" s="226" customFormat="1" ht="216" customHeight="1" thickBot="1">
      <c r="A136" s="204"/>
      <c r="B136" s="111"/>
      <c r="C136" s="111"/>
      <c r="D136" s="111"/>
      <c r="E136" s="111"/>
      <c r="F136" s="111"/>
      <c r="G136" s="111"/>
      <c r="H136" s="111"/>
      <c r="I136" s="111"/>
      <c r="J136" s="5"/>
      <c r="K136" s="5"/>
      <c r="L136" s="5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6"/>
      <c r="CM136" s="5"/>
      <c r="CN136" s="205"/>
      <c r="CO136" s="206" t="s">
        <v>10</v>
      </c>
      <c r="CP136" s="207"/>
      <c r="CQ136" s="208"/>
      <c r="CR136" s="209" t="s">
        <v>43</v>
      </c>
      <c r="CS136" s="210" t="s">
        <v>44</v>
      </c>
      <c r="CT136" s="210" t="s">
        <v>45</v>
      </c>
      <c r="CU136" s="211" t="s">
        <v>46</v>
      </c>
      <c r="CV136" s="212" t="s">
        <v>47</v>
      </c>
      <c r="CW136" s="213" t="s">
        <v>48</v>
      </c>
      <c r="CX136" s="214" t="s">
        <v>49</v>
      </c>
      <c r="CY136" s="215" t="s">
        <v>50</v>
      </c>
      <c r="CZ136" s="216" t="s">
        <v>51</v>
      </c>
      <c r="DA136" s="216" t="s">
        <v>52</v>
      </c>
      <c r="DB136" s="217" t="s">
        <v>169</v>
      </c>
      <c r="DC136" s="218" t="s">
        <v>199</v>
      </c>
      <c r="DD136" s="209" t="s">
        <v>53</v>
      </c>
      <c r="DE136" s="210" t="s">
        <v>54</v>
      </c>
      <c r="DF136" s="210" t="s">
        <v>55</v>
      </c>
      <c r="DG136" s="219" t="s">
        <v>56</v>
      </c>
      <c r="DH136" s="220" t="s">
        <v>200</v>
      </c>
      <c r="DI136" s="221" t="s">
        <v>57</v>
      </c>
      <c r="DJ136" s="222" t="s">
        <v>58</v>
      </c>
      <c r="DK136" s="222" t="s">
        <v>59</v>
      </c>
      <c r="DL136" s="222" t="s">
        <v>60</v>
      </c>
      <c r="DM136" s="222" t="s">
        <v>61</v>
      </c>
      <c r="DN136" s="223" t="s">
        <v>62</v>
      </c>
      <c r="DO136" s="221" t="s">
        <v>63</v>
      </c>
      <c r="DP136" s="222" t="s">
        <v>64</v>
      </c>
      <c r="DQ136" s="222" t="s">
        <v>65</v>
      </c>
      <c r="DR136" s="223" t="s">
        <v>66</v>
      </c>
      <c r="DS136" s="224" t="s">
        <v>67</v>
      </c>
      <c r="DT136" s="225" t="s">
        <v>198</v>
      </c>
      <c r="DU136" s="5"/>
      <c r="DV136" s="5"/>
      <c r="DW136" s="5"/>
      <c r="DX136" s="9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</row>
    <row r="137" spans="1:148" s="243" customFormat="1" ht="20.25" customHeight="1" thickBot="1">
      <c r="A137" s="204"/>
      <c r="B137" s="111"/>
      <c r="C137" s="111"/>
      <c r="D137" s="111"/>
      <c r="E137" s="111"/>
      <c r="F137" s="111"/>
      <c r="G137" s="111"/>
      <c r="H137" s="111"/>
      <c r="I137" s="111"/>
      <c r="J137" s="227"/>
      <c r="K137" s="227"/>
      <c r="L137" s="227"/>
      <c r="M137" s="228"/>
      <c r="N137" s="227"/>
      <c r="O137" s="227"/>
      <c r="P137" s="227"/>
      <c r="Q137" s="227"/>
      <c r="R137" s="227"/>
      <c r="S137" s="227"/>
      <c r="T137" s="227"/>
      <c r="U137" s="227"/>
      <c r="V137" s="227"/>
      <c r="W137" s="227"/>
      <c r="X137" s="227"/>
      <c r="Y137" s="227"/>
      <c r="Z137" s="227"/>
      <c r="AA137" s="227"/>
      <c r="AB137" s="227"/>
      <c r="AC137" s="227"/>
      <c r="AD137" s="227"/>
      <c r="AE137" s="227"/>
      <c r="AF137" s="227"/>
      <c r="AG137" s="227"/>
      <c r="AH137" s="227"/>
      <c r="AI137" s="227"/>
      <c r="AJ137" s="227"/>
      <c r="AK137" s="227"/>
      <c r="AL137" s="227"/>
      <c r="AM137" s="227"/>
      <c r="AN137" s="227"/>
      <c r="AO137" s="227"/>
      <c r="AP137" s="227"/>
      <c r="AQ137" s="227"/>
      <c r="AR137" s="227"/>
      <c r="AS137" s="227"/>
      <c r="AT137" s="227"/>
      <c r="AU137" s="111"/>
      <c r="AV137" s="227"/>
      <c r="AW137" s="227"/>
      <c r="AX137" s="227"/>
      <c r="AY137" s="227"/>
      <c r="AZ137" s="227"/>
      <c r="BA137" s="227"/>
      <c r="BB137" s="227"/>
      <c r="BC137" s="227"/>
      <c r="BD137" s="227"/>
      <c r="BE137" s="227"/>
      <c r="BF137" s="227"/>
      <c r="BG137" s="227"/>
      <c r="BH137" s="227"/>
      <c r="BI137" s="227"/>
      <c r="BJ137" s="227"/>
      <c r="BK137" s="227"/>
      <c r="BL137" s="227"/>
      <c r="BM137" s="227"/>
      <c r="BN137" s="227"/>
      <c r="BO137" s="227"/>
      <c r="BP137" s="227"/>
      <c r="BQ137" s="227"/>
      <c r="BR137" s="227"/>
      <c r="BS137" s="227"/>
      <c r="BT137" s="227"/>
      <c r="BU137" s="227"/>
      <c r="BV137" s="227"/>
      <c r="BW137" s="227"/>
      <c r="BX137" s="227"/>
      <c r="BY137" s="227"/>
      <c r="BZ137" s="227"/>
      <c r="CA137" s="227"/>
      <c r="CB137" s="227"/>
      <c r="CC137" s="227"/>
      <c r="CD137" s="227"/>
      <c r="CE137" s="227"/>
      <c r="CF137" s="227"/>
      <c r="CG137" s="227"/>
      <c r="CH137" s="227"/>
      <c r="CI137" s="227"/>
      <c r="CJ137" s="227"/>
      <c r="CK137" s="227"/>
      <c r="CL137" s="229"/>
      <c r="CM137" s="227"/>
      <c r="CN137" s="230"/>
      <c r="CO137" s="231"/>
      <c r="CP137" s="232" t="s">
        <v>28</v>
      </c>
      <c r="CQ137" s="233"/>
      <c r="CR137" s="234"/>
      <c r="CS137" s="235"/>
      <c r="CT137" s="235"/>
      <c r="CU137" s="234"/>
      <c r="CV137" s="236"/>
      <c r="CW137" s="234"/>
      <c r="CX137" s="235"/>
      <c r="CY137" s="235"/>
      <c r="CZ137" s="234"/>
      <c r="DA137" s="236"/>
      <c r="DB137" s="237"/>
      <c r="DC137" s="238"/>
      <c r="DD137" s="234"/>
      <c r="DE137" s="234"/>
      <c r="DF137" s="236"/>
      <c r="DG137" s="234"/>
      <c r="DH137" s="237"/>
      <c r="DI137" s="239"/>
      <c r="DJ137" s="240"/>
      <c r="DK137" s="240"/>
      <c r="DL137" s="241"/>
      <c r="DM137" s="240"/>
      <c r="DN137" s="240"/>
      <c r="DO137" s="241"/>
      <c r="DP137" s="240"/>
      <c r="DQ137" s="240"/>
      <c r="DR137" s="241"/>
      <c r="DS137" s="240"/>
      <c r="DT137" s="237"/>
      <c r="DU137" s="227"/>
      <c r="DV137" s="227"/>
      <c r="DW137" s="227"/>
      <c r="DX137" s="242"/>
      <c r="DY137" s="227"/>
      <c r="DZ137" s="227"/>
      <c r="EA137" s="227"/>
      <c r="EB137" s="227"/>
      <c r="EC137" s="227"/>
      <c r="ED137" s="227"/>
      <c r="EE137" s="227"/>
      <c r="EF137" s="227"/>
      <c r="EG137" s="227"/>
      <c r="EH137" s="227"/>
      <c r="EI137" s="227"/>
      <c r="EJ137" s="227"/>
      <c r="EK137" s="227"/>
      <c r="EL137" s="227"/>
      <c r="EM137" s="227"/>
      <c r="EN137" s="227"/>
      <c r="EO137" s="227"/>
      <c r="EP137" s="227"/>
      <c r="EQ137" s="227"/>
      <c r="ER137" s="227"/>
    </row>
    <row r="138" spans="1:148" ht="42" customHeight="1" thickBot="1">
      <c r="A138" s="10"/>
      <c r="B138" s="111"/>
      <c r="C138" s="111"/>
      <c r="D138" s="111"/>
      <c r="E138" s="111"/>
      <c r="F138" s="111"/>
      <c r="G138" s="111"/>
      <c r="H138" s="10"/>
      <c r="I138" s="10"/>
      <c r="K138" s="5"/>
      <c r="L138" s="5"/>
      <c r="Q138" s="585" t="s">
        <v>68</v>
      </c>
      <c r="R138" s="31">
        <f aca="true" t="shared" si="20" ref="R138:R151">IF(AND(O37="х",$E$22="х"),CR138,0)</f>
        <v>0</v>
      </c>
      <c r="S138" s="31">
        <f aca="true" t="shared" si="21" ref="S138:S151">IF(AND(O37="х",$E$23="х"),CS138,0)</f>
        <v>0</v>
      </c>
      <c r="T138" s="31">
        <f aca="true" t="shared" si="22" ref="T138:T151">IF(AND(O37="х",$E$24="х"),CT138,0)</f>
        <v>0</v>
      </c>
      <c r="U138" s="31">
        <f aca="true" t="shared" si="23" ref="U138:U151">IF(AND(O37="х",$E$25="х"),CU138,0)</f>
        <v>0</v>
      </c>
      <c r="V138" s="31">
        <f aca="true" t="shared" si="24" ref="V138:V151">IF(AND(O37="х",$E$26="х"),CV138,0)</f>
        <v>0</v>
      </c>
      <c r="W138" s="31">
        <f aca="true" t="shared" si="25" ref="W138:W151">IF(AND(O37="х",$E$27="х"),CW138,0)</f>
        <v>0</v>
      </c>
      <c r="X138" s="31">
        <f aca="true" t="shared" si="26" ref="X138:X151">IF(AND(O37="х",$E$28="х"),CX138,0)</f>
        <v>0</v>
      </c>
      <c r="Y138" s="31">
        <f aca="true" t="shared" si="27" ref="Y138:Y151">IF(AND(O37="х",$E$29="х"),CY138,0)</f>
        <v>0</v>
      </c>
      <c r="Z138" s="31">
        <f aca="true" t="shared" si="28" ref="Z138:Z151">IF(AND(O37="х",$E$30="х"),CZ138,0)</f>
        <v>0</v>
      </c>
      <c r="AA138" s="31">
        <f aca="true" t="shared" si="29" ref="AA138:AA151">IF(AND(O37="х",$E$31="х"),DA138,0)</f>
        <v>0</v>
      </c>
      <c r="AB138" s="31">
        <f aca="true" t="shared" si="30" ref="AB138:AB151">IF(AND(O37="х",$E$32="х"),DB138,0)</f>
        <v>0</v>
      </c>
      <c r="AC138" s="31">
        <f aca="true" t="shared" si="31" ref="AC138:AC151">IF(AND(O37="х",$E$33="х"),DC138,0)</f>
        <v>0</v>
      </c>
      <c r="AD138" s="31">
        <f aca="true" t="shared" si="32" ref="AD138:AD151">IF(AND(O37="х",$E$34="х"),DD138,0)</f>
        <v>0</v>
      </c>
      <c r="AE138" s="31">
        <f aca="true" t="shared" si="33" ref="AE138:AE151">IF(AND(O37="х",$E$35="х"),DE138,0)</f>
        <v>0</v>
      </c>
      <c r="AF138" s="31">
        <f aca="true" t="shared" si="34" ref="AF138:AF151">IF(AND(O37="х",$E$36="х"),DF138,0)</f>
        <v>0</v>
      </c>
      <c r="AG138" s="31">
        <f aca="true" t="shared" si="35" ref="AG138:AG151">IF(AND(O37="х",$E$37="х"),DG138,0)</f>
        <v>0</v>
      </c>
      <c r="AH138" s="31">
        <f aca="true" t="shared" si="36" ref="AH138:AH151">IF(AND(O37="х",$E$38="х"),DH138,0)</f>
        <v>0</v>
      </c>
      <c r="AI138" s="31">
        <f aca="true" t="shared" si="37" ref="AI138:AI151">IF(AND(O37="х",$E$39="х"),DI138,0)</f>
        <v>0</v>
      </c>
      <c r="AJ138" s="31">
        <f aca="true" t="shared" si="38" ref="AJ138:AJ151">IF(AND(O37="х",$E$40="х"),DJ138,0)</f>
        <v>0</v>
      </c>
      <c r="AK138" s="31">
        <f aca="true" t="shared" si="39" ref="AK138:AK151">IF(AND(O37="х",$E$41="х"),DK138,0)</f>
        <v>0</v>
      </c>
      <c r="AL138" s="31">
        <f aca="true" t="shared" si="40" ref="AL138:AL151">IF(AND(O37="х",$E$42="х"),DL138,0)</f>
        <v>0</v>
      </c>
      <c r="AM138" s="31">
        <f aca="true" t="shared" si="41" ref="AM138:AM151">IF(AND(O37="х",$E$43="х"),DM138,0)</f>
        <v>0</v>
      </c>
      <c r="AN138" s="31">
        <f aca="true" t="shared" si="42" ref="AN138:AN151">IF(AND(O37="х",$E$44="х"),DN138,0)</f>
        <v>0</v>
      </c>
      <c r="AO138" s="31">
        <f aca="true" t="shared" si="43" ref="AO138:AO151">IF(AND(O37="х",$E$45="х"),DO138,0)</f>
        <v>0</v>
      </c>
      <c r="AP138" s="31">
        <f aca="true" t="shared" si="44" ref="AP138:AP151">IF(AND(O37="х",$E$46="х"),DP138,0)</f>
        <v>0</v>
      </c>
      <c r="AQ138" s="31">
        <f aca="true" t="shared" si="45" ref="AQ138:AQ151">IF(AND(O37="х",$E$47="х"),DQ138,0)</f>
        <v>0</v>
      </c>
      <c r="AR138" s="31">
        <f aca="true" t="shared" si="46" ref="AR138:AR151">IF(AND(O37="х",$E$48="х"),DR138,0)</f>
        <v>0</v>
      </c>
      <c r="AS138" s="31">
        <f aca="true" t="shared" si="47" ref="AS138:AS151">IF(AND(O37="х",$E$49="х"),DS138,0)</f>
        <v>0</v>
      </c>
      <c r="AT138" s="31">
        <f aca="true" t="shared" si="48" ref="AT138:AT151">IF(AND(O37="х",$E$50="х"),DT138,0)</f>
        <v>0</v>
      </c>
      <c r="AU138" s="244">
        <f aca="true" t="shared" si="49" ref="AU138:AU143">IF(OR(R138="х",S138="х",T138="х",U138="х",V138="х",W138="х",X138="х",Y138="х",Z138="х",AA138="х",AB138="х",AC138="х",AD138="х",AE138="х",AF138="х",AG138="х",AH138="х",AI138="х",AJ138="х",AK138="х",AL138="х",AM138="х",AN138="х",AO138="х",AP138="х",AQ138="х",AR138="х",AS138="х",AT138="х"),0,MAXA(R138:AT138))</f>
        <v>0</v>
      </c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N138" s="595" t="s">
        <v>68</v>
      </c>
      <c r="CO138" s="245" t="s">
        <v>29</v>
      </c>
      <c r="CP138" s="246"/>
      <c r="CQ138" s="247"/>
      <c r="CR138" s="248">
        <v>0.08</v>
      </c>
      <c r="CS138" s="249">
        <v>0.08</v>
      </c>
      <c r="CT138" s="249">
        <v>0.08</v>
      </c>
      <c r="CU138" s="250">
        <v>0.08</v>
      </c>
      <c r="CV138" s="251">
        <v>0.12</v>
      </c>
      <c r="CW138" s="252">
        <v>0.12</v>
      </c>
      <c r="CX138" s="253">
        <v>0.12</v>
      </c>
      <c r="CY138" s="254" t="s">
        <v>79</v>
      </c>
      <c r="CZ138" s="254" t="s">
        <v>79</v>
      </c>
      <c r="DA138" s="254" t="s">
        <v>79</v>
      </c>
      <c r="DB138" s="254" t="s">
        <v>79</v>
      </c>
      <c r="DC138" s="254" t="s">
        <v>79</v>
      </c>
      <c r="DD138" s="255">
        <v>0.05</v>
      </c>
      <c r="DE138" s="256">
        <v>0.06</v>
      </c>
      <c r="DF138" s="256">
        <v>0.1</v>
      </c>
      <c r="DG138" s="254" t="s">
        <v>79</v>
      </c>
      <c r="DH138" s="254" t="s">
        <v>79</v>
      </c>
      <c r="DI138" s="257">
        <v>0.05</v>
      </c>
      <c r="DJ138" s="255">
        <v>0.05</v>
      </c>
      <c r="DK138" s="255">
        <v>0.05</v>
      </c>
      <c r="DL138" s="255">
        <v>0.05</v>
      </c>
      <c r="DM138" s="255">
        <v>0.05</v>
      </c>
      <c r="DN138" s="251">
        <v>0.05</v>
      </c>
      <c r="DO138" s="255">
        <v>0.06</v>
      </c>
      <c r="DP138" s="255">
        <v>0.06</v>
      </c>
      <c r="DQ138" s="255">
        <v>0.06</v>
      </c>
      <c r="DR138" s="251">
        <v>0.06</v>
      </c>
      <c r="DS138" s="254" t="s">
        <v>79</v>
      </c>
      <c r="DT138" s="254" t="s">
        <v>79</v>
      </c>
      <c r="DU138" s="111"/>
      <c r="DV138" s="258"/>
      <c r="DW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</row>
    <row r="139" spans="2:126" ht="33" customHeight="1" thickBot="1">
      <c r="B139" s="10"/>
      <c r="C139" s="10"/>
      <c r="D139" s="10"/>
      <c r="E139" s="10"/>
      <c r="F139" s="10"/>
      <c r="G139" s="10"/>
      <c r="H139" s="10"/>
      <c r="I139" s="10"/>
      <c r="Q139" s="586"/>
      <c r="R139" s="31">
        <f t="shared" si="20"/>
        <v>0</v>
      </c>
      <c r="S139" s="31">
        <f t="shared" si="21"/>
        <v>0</v>
      </c>
      <c r="T139" s="31">
        <f t="shared" si="22"/>
        <v>0</v>
      </c>
      <c r="U139" s="31">
        <f t="shared" si="23"/>
        <v>0</v>
      </c>
      <c r="V139" s="31">
        <f t="shared" si="24"/>
        <v>0</v>
      </c>
      <c r="W139" s="31">
        <f t="shared" si="25"/>
        <v>0</v>
      </c>
      <c r="X139" s="31">
        <f t="shared" si="26"/>
        <v>0</v>
      </c>
      <c r="Y139" s="31">
        <f t="shared" si="27"/>
        <v>0</v>
      </c>
      <c r="Z139" s="31">
        <f t="shared" si="28"/>
        <v>0</v>
      </c>
      <c r="AA139" s="31">
        <f t="shared" si="29"/>
        <v>0</v>
      </c>
      <c r="AB139" s="31">
        <f t="shared" si="30"/>
        <v>0</v>
      </c>
      <c r="AC139" s="31">
        <f t="shared" si="31"/>
        <v>0</v>
      </c>
      <c r="AD139" s="31">
        <f t="shared" si="32"/>
        <v>0</v>
      </c>
      <c r="AE139" s="31">
        <f t="shared" si="33"/>
        <v>0</v>
      </c>
      <c r="AF139" s="31">
        <f t="shared" si="34"/>
        <v>0</v>
      </c>
      <c r="AG139" s="31">
        <f t="shared" si="35"/>
        <v>0</v>
      </c>
      <c r="AH139" s="31">
        <f t="shared" si="36"/>
        <v>0</v>
      </c>
      <c r="AI139" s="31">
        <f t="shared" si="37"/>
        <v>0</v>
      </c>
      <c r="AJ139" s="31">
        <f t="shared" si="38"/>
        <v>0</v>
      </c>
      <c r="AK139" s="31">
        <f t="shared" si="39"/>
        <v>0</v>
      </c>
      <c r="AL139" s="31">
        <f t="shared" si="40"/>
        <v>0</v>
      </c>
      <c r="AM139" s="31">
        <f t="shared" si="41"/>
        <v>0</v>
      </c>
      <c r="AN139" s="31">
        <f t="shared" si="42"/>
        <v>0</v>
      </c>
      <c r="AO139" s="31">
        <f t="shared" si="43"/>
        <v>0</v>
      </c>
      <c r="AP139" s="31">
        <f t="shared" si="44"/>
        <v>0</v>
      </c>
      <c r="AQ139" s="31">
        <f t="shared" si="45"/>
        <v>0</v>
      </c>
      <c r="AR139" s="31">
        <f t="shared" si="46"/>
        <v>0</v>
      </c>
      <c r="AS139" s="31">
        <f t="shared" si="47"/>
        <v>0</v>
      </c>
      <c r="AT139" s="31">
        <f t="shared" si="48"/>
        <v>0</v>
      </c>
      <c r="AU139" s="244">
        <f t="shared" si="49"/>
        <v>0</v>
      </c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N139" s="596"/>
      <c r="CO139" s="259" t="s">
        <v>30</v>
      </c>
      <c r="CP139" s="260"/>
      <c r="CQ139" s="261"/>
      <c r="CR139" s="262">
        <v>0.11</v>
      </c>
      <c r="CS139" s="263">
        <v>0.11</v>
      </c>
      <c r="CT139" s="263">
        <v>0.11</v>
      </c>
      <c r="CU139" s="264">
        <v>0.11</v>
      </c>
      <c r="CV139" s="265">
        <v>0.15</v>
      </c>
      <c r="CW139" s="266">
        <v>0.15</v>
      </c>
      <c r="CX139" s="267">
        <v>0.15</v>
      </c>
      <c r="CY139" s="268" t="s">
        <v>79</v>
      </c>
      <c r="CZ139" s="268" t="s">
        <v>79</v>
      </c>
      <c r="DA139" s="268" t="s">
        <v>79</v>
      </c>
      <c r="DB139" s="268" t="s">
        <v>79</v>
      </c>
      <c r="DC139" s="268" t="s">
        <v>79</v>
      </c>
      <c r="DD139" s="269">
        <v>0.09</v>
      </c>
      <c r="DE139" s="270">
        <v>0.11</v>
      </c>
      <c r="DF139" s="270">
        <v>0.15</v>
      </c>
      <c r="DG139" s="268" t="s">
        <v>79</v>
      </c>
      <c r="DH139" s="268" t="s">
        <v>79</v>
      </c>
      <c r="DI139" s="271">
        <v>0.1</v>
      </c>
      <c r="DJ139" s="272">
        <v>0.1</v>
      </c>
      <c r="DK139" s="272">
        <v>0.1</v>
      </c>
      <c r="DL139" s="272">
        <v>0.1</v>
      </c>
      <c r="DM139" s="272">
        <v>0.1</v>
      </c>
      <c r="DN139" s="273">
        <v>0.1</v>
      </c>
      <c r="DO139" s="269">
        <v>0.125</v>
      </c>
      <c r="DP139" s="269">
        <v>0.125</v>
      </c>
      <c r="DQ139" s="269">
        <v>0.125</v>
      </c>
      <c r="DR139" s="265">
        <v>0.125</v>
      </c>
      <c r="DS139" s="268" t="s">
        <v>79</v>
      </c>
      <c r="DT139" s="268" t="s">
        <v>79</v>
      </c>
      <c r="DU139" s="10"/>
      <c r="DV139" s="274"/>
    </row>
    <row r="140" spans="2:126" ht="29.25" customHeight="1" thickBot="1">
      <c r="B140" s="10"/>
      <c r="C140" s="10"/>
      <c r="D140" s="10"/>
      <c r="E140" s="10"/>
      <c r="F140" s="10"/>
      <c r="G140" s="10"/>
      <c r="H140" s="10"/>
      <c r="I140" s="10"/>
      <c r="Q140" s="586"/>
      <c r="R140" s="31">
        <f t="shared" si="20"/>
        <v>0</v>
      </c>
      <c r="S140" s="31">
        <f t="shared" si="21"/>
        <v>0</v>
      </c>
      <c r="T140" s="31">
        <f t="shared" si="22"/>
        <v>0</v>
      </c>
      <c r="U140" s="31">
        <f t="shared" si="23"/>
        <v>0</v>
      </c>
      <c r="V140" s="31">
        <f t="shared" si="24"/>
        <v>0</v>
      </c>
      <c r="W140" s="31">
        <f t="shared" si="25"/>
        <v>0</v>
      </c>
      <c r="X140" s="31">
        <f t="shared" si="26"/>
        <v>0</v>
      </c>
      <c r="Y140" s="31">
        <f t="shared" si="27"/>
        <v>0</v>
      </c>
      <c r="Z140" s="31">
        <f t="shared" si="28"/>
        <v>0</v>
      </c>
      <c r="AA140" s="31">
        <f t="shared" si="29"/>
        <v>0</v>
      </c>
      <c r="AB140" s="31">
        <f t="shared" si="30"/>
        <v>0</v>
      </c>
      <c r="AC140" s="31">
        <f t="shared" si="31"/>
        <v>0</v>
      </c>
      <c r="AD140" s="31">
        <f t="shared" si="32"/>
        <v>0</v>
      </c>
      <c r="AE140" s="31">
        <f t="shared" si="33"/>
        <v>0</v>
      </c>
      <c r="AF140" s="31">
        <f t="shared" si="34"/>
        <v>0</v>
      </c>
      <c r="AG140" s="31">
        <f t="shared" si="35"/>
        <v>0</v>
      </c>
      <c r="AH140" s="31">
        <f t="shared" si="36"/>
        <v>0</v>
      </c>
      <c r="AI140" s="31">
        <f t="shared" si="37"/>
        <v>0</v>
      </c>
      <c r="AJ140" s="31">
        <f t="shared" si="38"/>
        <v>0</v>
      </c>
      <c r="AK140" s="31">
        <f t="shared" si="39"/>
        <v>0</v>
      </c>
      <c r="AL140" s="31">
        <f t="shared" si="40"/>
        <v>0</v>
      </c>
      <c r="AM140" s="31">
        <f t="shared" si="41"/>
        <v>0</v>
      </c>
      <c r="AN140" s="31">
        <f t="shared" si="42"/>
        <v>0</v>
      </c>
      <c r="AO140" s="31">
        <f t="shared" si="43"/>
        <v>0</v>
      </c>
      <c r="AP140" s="31">
        <f t="shared" si="44"/>
        <v>0</v>
      </c>
      <c r="AQ140" s="31">
        <f t="shared" si="45"/>
        <v>0</v>
      </c>
      <c r="AR140" s="31">
        <f t="shared" si="46"/>
        <v>0</v>
      </c>
      <c r="AS140" s="31">
        <f t="shared" si="47"/>
        <v>0</v>
      </c>
      <c r="AT140" s="31">
        <f t="shared" si="48"/>
        <v>0</v>
      </c>
      <c r="AU140" s="244">
        <f t="shared" si="49"/>
        <v>0</v>
      </c>
      <c r="CN140" s="596"/>
      <c r="CO140" s="259" t="s">
        <v>31</v>
      </c>
      <c r="CP140" s="260"/>
      <c r="CQ140" s="261"/>
      <c r="CR140" s="262">
        <v>0.25</v>
      </c>
      <c r="CS140" s="263">
        <v>0.25</v>
      </c>
      <c r="CT140" s="263">
        <v>0.25</v>
      </c>
      <c r="CU140" s="264">
        <v>0.25</v>
      </c>
      <c r="CV140" s="265">
        <v>0.3</v>
      </c>
      <c r="CW140" s="266">
        <v>0.3</v>
      </c>
      <c r="CX140" s="267">
        <v>0.3</v>
      </c>
      <c r="CY140" s="268" t="s">
        <v>79</v>
      </c>
      <c r="CZ140" s="268" t="s">
        <v>79</v>
      </c>
      <c r="DA140" s="268" t="s">
        <v>79</v>
      </c>
      <c r="DB140" s="268" t="s">
        <v>79</v>
      </c>
      <c r="DC140" s="268" t="s">
        <v>79</v>
      </c>
      <c r="DD140" s="269">
        <v>0.25</v>
      </c>
      <c r="DE140" s="270">
        <v>0.3</v>
      </c>
      <c r="DF140" s="270">
        <v>0.35</v>
      </c>
      <c r="DG140" s="268" t="s">
        <v>79</v>
      </c>
      <c r="DH140" s="268" t="s">
        <v>79</v>
      </c>
      <c r="DI140" s="275">
        <v>0.25</v>
      </c>
      <c r="DJ140" s="269">
        <v>0.25</v>
      </c>
      <c r="DK140" s="269">
        <v>0.25</v>
      </c>
      <c r="DL140" s="269">
        <v>0.25</v>
      </c>
      <c r="DM140" s="269">
        <v>0.25</v>
      </c>
      <c r="DN140" s="265">
        <v>0.25</v>
      </c>
      <c r="DO140" s="269">
        <v>0.3</v>
      </c>
      <c r="DP140" s="269">
        <v>0.3</v>
      </c>
      <c r="DQ140" s="269">
        <v>0.3</v>
      </c>
      <c r="DR140" s="265">
        <v>0.3</v>
      </c>
      <c r="DS140" s="268" t="s">
        <v>79</v>
      </c>
      <c r="DT140" s="268" t="s">
        <v>79</v>
      </c>
      <c r="DU140" s="10"/>
      <c r="DV140" s="274"/>
    </row>
    <row r="141" spans="17:126" ht="28.5" customHeight="1" thickBot="1">
      <c r="Q141" s="586"/>
      <c r="R141" s="31">
        <f t="shared" si="20"/>
        <v>0</v>
      </c>
      <c r="S141" s="31">
        <f t="shared" si="21"/>
        <v>0</v>
      </c>
      <c r="T141" s="31">
        <f t="shared" si="22"/>
        <v>0</v>
      </c>
      <c r="U141" s="31">
        <f t="shared" si="23"/>
        <v>0</v>
      </c>
      <c r="V141" s="31">
        <f t="shared" si="24"/>
        <v>0</v>
      </c>
      <c r="W141" s="31">
        <f t="shared" si="25"/>
        <v>0</v>
      </c>
      <c r="X141" s="31">
        <f t="shared" si="26"/>
        <v>0</v>
      </c>
      <c r="Y141" s="31">
        <f t="shared" si="27"/>
        <v>0</v>
      </c>
      <c r="Z141" s="31">
        <f t="shared" si="28"/>
        <v>0</v>
      </c>
      <c r="AA141" s="31">
        <f t="shared" si="29"/>
        <v>0</v>
      </c>
      <c r="AB141" s="31">
        <f t="shared" si="30"/>
        <v>0</v>
      </c>
      <c r="AC141" s="31">
        <f t="shared" si="31"/>
        <v>0</v>
      </c>
      <c r="AD141" s="31">
        <f t="shared" si="32"/>
        <v>0</v>
      </c>
      <c r="AE141" s="31">
        <f t="shared" si="33"/>
        <v>0</v>
      </c>
      <c r="AF141" s="31">
        <f t="shared" si="34"/>
        <v>0</v>
      </c>
      <c r="AG141" s="31">
        <f t="shared" si="35"/>
        <v>0</v>
      </c>
      <c r="AH141" s="31">
        <f t="shared" si="36"/>
        <v>0</v>
      </c>
      <c r="AI141" s="31">
        <f t="shared" si="37"/>
        <v>0</v>
      </c>
      <c r="AJ141" s="31">
        <f t="shared" si="38"/>
        <v>0</v>
      </c>
      <c r="AK141" s="31">
        <f t="shared" si="39"/>
        <v>0</v>
      </c>
      <c r="AL141" s="31">
        <f t="shared" si="40"/>
        <v>0</v>
      </c>
      <c r="AM141" s="31">
        <f t="shared" si="41"/>
        <v>0</v>
      </c>
      <c r="AN141" s="31">
        <f t="shared" si="42"/>
        <v>0</v>
      </c>
      <c r="AO141" s="31">
        <f t="shared" si="43"/>
        <v>0</v>
      </c>
      <c r="AP141" s="31">
        <f t="shared" si="44"/>
        <v>0</v>
      </c>
      <c r="AQ141" s="31">
        <f t="shared" si="45"/>
        <v>0</v>
      </c>
      <c r="AR141" s="31">
        <f t="shared" si="46"/>
        <v>0</v>
      </c>
      <c r="AS141" s="31">
        <f t="shared" si="47"/>
        <v>0</v>
      </c>
      <c r="AT141" s="31">
        <f t="shared" si="48"/>
        <v>0</v>
      </c>
      <c r="AU141" s="244">
        <f t="shared" si="49"/>
        <v>0</v>
      </c>
      <c r="CN141" s="596"/>
      <c r="CO141" s="259" t="s">
        <v>32</v>
      </c>
      <c r="CP141" s="276"/>
      <c r="CQ141" s="261"/>
      <c r="CR141" s="262">
        <v>2</v>
      </c>
      <c r="CS141" s="263">
        <v>2</v>
      </c>
      <c r="CT141" s="263">
        <v>2</v>
      </c>
      <c r="CU141" s="264">
        <v>2</v>
      </c>
      <c r="CV141" s="265">
        <v>2</v>
      </c>
      <c r="CW141" s="266">
        <v>2</v>
      </c>
      <c r="CX141" s="267">
        <v>2</v>
      </c>
      <c r="CY141" s="268" t="s">
        <v>79</v>
      </c>
      <c r="CZ141" s="268" t="s">
        <v>79</v>
      </c>
      <c r="DA141" s="268" t="s">
        <v>79</v>
      </c>
      <c r="DB141" s="268" t="s">
        <v>79</v>
      </c>
      <c r="DC141" s="268" t="s">
        <v>79</v>
      </c>
      <c r="DD141" s="269">
        <v>2</v>
      </c>
      <c r="DE141" s="270">
        <v>2</v>
      </c>
      <c r="DF141" s="270">
        <v>2</v>
      </c>
      <c r="DG141" s="268" t="s">
        <v>79</v>
      </c>
      <c r="DH141" s="268" t="s">
        <v>79</v>
      </c>
      <c r="DI141" s="275">
        <v>2</v>
      </c>
      <c r="DJ141" s="269">
        <v>2</v>
      </c>
      <c r="DK141" s="269">
        <v>2</v>
      </c>
      <c r="DL141" s="269">
        <v>2</v>
      </c>
      <c r="DM141" s="269">
        <v>2</v>
      </c>
      <c r="DN141" s="265">
        <v>2</v>
      </c>
      <c r="DO141" s="269">
        <v>2</v>
      </c>
      <c r="DP141" s="269">
        <v>2</v>
      </c>
      <c r="DQ141" s="269">
        <v>2</v>
      </c>
      <c r="DR141" s="265">
        <v>2</v>
      </c>
      <c r="DS141" s="268" t="s">
        <v>79</v>
      </c>
      <c r="DT141" s="268" t="s">
        <v>79</v>
      </c>
      <c r="DU141" s="10"/>
      <c r="DV141" s="274"/>
    </row>
    <row r="142" spans="17:126" ht="14.25" customHeight="1" thickBot="1">
      <c r="Q142" s="586"/>
      <c r="R142" s="31">
        <f t="shared" si="20"/>
        <v>0</v>
      </c>
      <c r="S142" s="31">
        <f t="shared" si="21"/>
        <v>0</v>
      </c>
      <c r="T142" s="31">
        <f t="shared" si="22"/>
        <v>0</v>
      </c>
      <c r="U142" s="31">
        <f t="shared" si="23"/>
        <v>0</v>
      </c>
      <c r="V142" s="31">
        <f t="shared" si="24"/>
        <v>0</v>
      </c>
      <c r="W142" s="31">
        <f t="shared" si="25"/>
        <v>0</v>
      </c>
      <c r="X142" s="31">
        <f t="shared" si="26"/>
        <v>0</v>
      </c>
      <c r="Y142" s="31">
        <f t="shared" si="27"/>
        <v>0</v>
      </c>
      <c r="Z142" s="31">
        <f t="shared" si="28"/>
        <v>0</v>
      </c>
      <c r="AA142" s="31">
        <f t="shared" si="29"/>
        <v>0</v>
      </c>
      <c r="AB142" s="31">
        <f t="shared" si="30"/>
        <v>0</v>
      </c>
      <c r="AC142" s="31">
        <f t="shared" si="31"/>
        <v>0</v>
      </c>
      <c r="AD142" s="31">
        <f t="shared" si="32"/>
        <v>0</v>
      </c>
      <c r="AE142" s="31">
        <f t="shared" si="33"/>
        <v>0</v>
      </c>
      <c r="AF142" s="31">
        <f t="shared" si="34"/>
        <v>0</v>
      </c>
      <c r="AG142" s="31">
        <f t="shared" si="35"/>
        <v>0</v>
      </c>
      <c r="AH142" s="31">
        <f t="shared" si="36"/>
        <v>0</v>
      </c>
      <c r="AI142" s="31">
        <f t="shared" si="37"/>
        <v>0</v>
      </c>
      <c r="AJ142" s="31">
        <f t="shared" si="38"/>
        <v>0</v>
      </c>
      <c r="AK142" s="31">
        <f t="shared" si="39"/>
        <v>0</v>
      </c>
      <c r="AL142" s="31">
        <f t="shared" si="40"/>
        <v>0</v>
      </c>
      <c r="AM142" s="31">
        <f t="shared" si="41"/>
        <v>0</v>
      </c>
      <c r="AN142" s="31">
        <f t="shared" si="42"/>
        <v>0</v>
      </c>
      <c r="AO142" s="31">
        <f t="shared" si="43"/>
        <v>0</v>
      </c>
      <c r="AP142" s="31">
        <f t="shared" si="44"/>
        <v>0</v>
      </c>
      <c r="AQ142" s="31">
        <f t="shared" si="45"/>
        <v>0</v>
      </c>
      <c r="AR142" s="31">
        <f t="shared" si="46"/>
        <v>0</v>
      </c>
      <c r="AS142" s="31">
        <f t="shared" si="47"/>
        <v>0</v>
      </c>
      <c r="AT142" s="31">
        <f t="shared" si="48"/>
        <v>0</v>
      </c>
      <c r="AU142" s="244">
        <f t="shared" si="49"/>
        <v>0</v>
      </c>
      <c r="CN142" s="596"/>
      <c r="CO142" s="259" t="s">
        <v>33</v>
      </c>
      <c r="CP142" s="246"/>
      <c r="CQ142" s="261"/>
      <c r="CR142" s="262">
        <v>0.25</v>
      </c>
      <c r="CS142" s="263">
        <v>0.25</v>
      </c>
      <c r="CT142" s="263">
        <v>0.25</v>
      </c>
      <c r="CU142" s="264">
        <v>0.25</v>
      </c>
      <c r="CV142" s="265">
        <v>0.3</v>
      </c>
      <c r="CW142" s="266">
        <v>0.3</v>
      </c>
      <c r="CX142" s="267">
        <v>0.3</v>
      </c>
      <c r="CY142" s="268" t="s">
        <v>79</v>
      </c>
      <c r="CZ142" s="268" t="s">
        <v>79</v>
      </c>
      <c r="DA142" s="268" t="s">
        <v>79</v>
      </c>
      <c r="DB142" s="268" t="s">
        <v>79</v>
      </c>
      <c r="DC142" s="268" t="s">
        <v>79</v>
      </c>
      <c r="DD142" s="269">
        <v>0.25</v>
      </c>
      <c r="DE142" s="270">
        <v>0.3</v>
      </c>
      <c r="DF142" s="270">
        <v>0.35</v>
      </c>
      <c r="DG142" s="268" t="s">
        <v>79</v>
      </c>
      <c r="DH142" s="268" t="s">
        <v>79</v>
      </c>
      <c r="DI142" s="275">
        <v>0.25</v>
      </c>
      <c r="DJ142" s="269">
        <v>0.25</v>
      </c>
      <c r="DK142" s="269">
        <v>0.25</v>
      </c>
      <c r="DL142" s="269">
        <v>0.25</v>
      </c>
      <c r="DM142" s="269">
        <v>0.25</v>
      </c>
      <c r="DN142" s="265">
        <v>0.25</v>
      </c>
      <c r="DO142" s="269">
        <v>0.3</v>
      </c>
      <c r="DP142" s="269">
        <v>0.3</v>
      </c>
      <c r="DQ142" s="269">
        <v>0.3</v>
      </c>
      <c r="DR142" s="265">
        <v>0.3</v>
      </c>
      <c r="DS142" s="268" t="s">
        <v>79</v>
      </c>
      <c r="DT142" s="268" t="s">
        <v>79</v>
      </c>
      <c r="DU142" s="10"/>
      <c r="DV142" s="274"/>
    </row>
    <row r="143" spans="17:126" ht="14.25" customHeight="1" thickBot="1">
      <c r="Q143" s="587"/>
      <c r="R143" s="31">
        <f t="shared" si="20"/>
        <v>0</v>
      </c>
      <c r="S143" s="31">
        <f t="shared" si="21"/>
        <v>0</v>
      </c>
      <c r="T143" s="31">
        <f t="shared" si="22"/>
        <v>0</v>
      </c>
      <c r="U143" s="31">
        <f t="shared" si="23"/>
        <v>0</v>
      </c>
      <c r="V143" s="31">
        <f t="shared" si="24"/>
        <v>0</v>
      </c>
      <c r="W143" s="31">
        <f t="shared" si="25"/>
        <v>0</v>
      </c>
      <c r="X143" s="31">
        <f t="shared" si="26"/>
        <v>0</v>
      </c>
      <c r="Y143" s="31">
        <f t="shared" si="27"/>
        <v>0</v>
      </c>
      <c r="Z143" s="31">
        <f t="shared" si="28"/>
        <v>0</v>
      </c>
      <c r="AA143" s="31">
        <f t="shared" si="29"/>
        <v>0</v>
      </c>
      <c r="AB143" s="31">
        <f t="shared" si="30"/>
        <v>0</v>
      </c>
      <c r="AC143" s="31">
        <f t="shared" si="31"/>
        <v>0</v>
      </c>
      <c r="AD143" s="31">
        <f t="shared" si="32"/>
        <v>0</v>
      </c>
      <c r="AE143" s="31">
        <f t="shared" si="33"/>
        <v>0</v>
      </c>
      <c r="AF143" s="31">
        <f t="shared" si="34"/>
        <v>0</v>
      </c>
      <c r="AG143" s="31">
        <f t="shared" si="35"/>
        <v>0</v>
      </c>
      <c r="AH143" s="31">
        <f t="shared" si="36"/>
        <v>0</v>
      </c>
      <c r="AI143" s="31">
        <f t="shared" si="37"/>
        <v>0</v>
      </c>
      <c r="AJ143" s="31">
        <f t="shared" si="38"/>
        <v>0</v>
      </c>
      <c r="AK143" s="31">
        <f t="shared" si="39"/>
        <v>0</v>
      </c>
      <c r="AL143" s="31">
        <f t="shared" si="40"/>
        <v>0</v>
      </c>
      <c r="AM143" s="31">
        <f t="shared" si="41"/>
        <v>0</v>
      </c>
      <c r="AN143" s="31">
        <f t="shared" si="42"/>
        <v>0</v>
      </c>
      <c r="AO143" s="31">
        <f t="shared" si="43"/>
        <v>0</v>
      </c>
      <c r="AP143" s="31">
        <f t="shared" si="44"/>
        <v>0</v>
      </c>
      <c r="AQ143" s="31">
        <f t="shared" si="45"/>
        <v>0</v>
      </c>
      <c r="AR143" s="31">
        <f t="shared" si="46"/>
        <v>0</v>
      </c>
      <c r="AS143" s="31">
        <f t="shared" si="47"/>
        <v>0</v>
      </c>
      <c r="AT143" s="31">
        <f t="shared" si="48"/>
        <v>0</v>
      </c>
      <c r="AU143" s="244">
        <f t="shared" si="49"/>
        <v>0</v>
      </c>
      <c r="CN143" s="596"/>
      <c r="CO143" s="259" t="s">
        <v>34</v>
      </c>
      <c r="CP143" s="260"/>
      <c r="CQ143" s="261"/>
      <c r="CR143" s="262">
        <v>0.02</v>
      </c>
      <c r="CS143" s="263">
        <v>0.02</v>
      </c>
      <c r="CT143" s="263">
        <v>0.02</v>
      </c>
      <c r="CU143" s="264">
        <v>0.02</v>
      </c>
      <c r="CV143" s="265">
        <v>0.025</v>
      </c>
      <c r="CW143" s="266">
        <v>0.025</v>
      </c>
      <c r="CX143" s="267">
        <v>0.025</v>
      </c>
      <c r="CY143" s="268" t="s">
        <v>79</v>
      </c>
      <c r="CZ143" s="268" t="s">
        <v>79</v>
      </c>
      <c r="DA143" s="268" t="s">
        <v>79</v>
      </c>
      <c r="DB143" s="268" t="s">
        <v>79</v>
      </c>
      <c r="DC143" s="268" t="s">
        <v>79</v>
      </c>
      <c r="DD143" s="269">
        <v>0.02</v>
      </c>
      <c r="DE143" s="270">
        <v>0.02</v>
      </c>
      <c r="DF143" s="270">
        <v>0.025</v>
      </c>
      <c r="DG143" s="268" t="s">
        <v>79</v>
      </c>
      <c r="DH143" s="268" t="s">
        <v>79</v>
      </c>
      <c r="DI143" s="275">
        <v>0.02</v>
      </c>
      <c r="DJ143" s="269">
        <v>0.02</v>
      </c>
      <c r="DK143" s="269">
        <v>0.02</v>
      </c>
      <c r="DL143" s="269">
        <v>0.02</v>
      </c>
      <c r="DM143" s="269">
        <v>0.02</v>
      </c>
      <c r="DN143" s="265">
        <v>0.02</v>
      </c>
      <c r="DO143" s="269">
        <v>0.02</v>
      </c>
      <c r="DP143" s="269">
        <v>0.02</v>
      </c>
      <c r="DQ143" s="269">
        <v>0.02</v>
      </c>
      <c r="DR143" s="265">
        <v>0.02</v>
      </c>
      <c r="DS143" s="268" t="s">
        <v>79</v>
      </c>
      <c r="DT143" s="268" t="s">
        <v>79</v>
      </c>
      <c r="DU143" s="10"/>
      <c r="DV143" s="274"/>
    </row>
    <row r="144" spans="17:126" ht="26.25" customHeight="1" thickBot="1">
      <c r="Q144" s="586" t="s">
        <v>69</v>
      </c>
      <c r="R144" s="31">
        <f t="shared" si="20"/>
        <v>0</v>
      </c>
      <c r="S144" s="31">
        <f t="shared" si="21"/>
        <v>0</v>
      </c>
      <c r="T144" s="31">
        <f t="shared" si="22"/>
        <v>0</v>
      </c>
      <c r="U144" s="31">
        <f t="shared" si="23"/>
        <v>0</v>
      </c>
      <c r="V144" s="31">
        <f t="shared" si="24"/>
        <v>0</v>
      </c>
      <c r="W144" s="31">
        <f t="shared" si="25"/>
        <v>0</v>
      </c>
      <c r="X144" s="31">
        <f t="shared" si="26"/>
        <v>0</v>
      </c>
      <c r="Y144" s="31">
        <f t="shared" si="27"/>
        <v>0</v>
      </c>
      <c r="Z144" s="31">
        <f t="shared" si="28"/>
        <v>0</v>
      </c>
      <c r="AA144" s="31">
        <f t="shared" si="29"/>
        <v>0</v>
      </c>
      <c r="AB144" s="31">
        <f t="shared" si="30"/>
        <v>0</v>
      </c>
      <c r="AC144" s="31">
        <f t="shared" si="31"/>
        <v>0</v>
      </c>
      <c r="AD144" s="31">
        <f t="shared" si="32"/>
        <v>0</v>
      </c>
      <c r="AE144" s="31">
        <f t="shared" si="33"/>
        <v>0</v>
      </c>
      <c r="AF144" s="31">
        <f t="shared" si="34"/>
        <v>0</v>
      </c>
      <c r="AG144" s="31">
        <f t="shared" si="35"/>
        <v>0</v>
      </c>
      <c r="AH144" s="31">
        <f t="shared" si="36"/>
        <v>0</v>
      </c>
      <c r="AI144" s="31">
        <f t="shared" si="37"/>
        <v>0</v>
      </c>
      <c r="AJ144" s="31">
        <f t="shared" si="38"/>
        <v>0</v>
      </c>
      <c r="AK144" s="31">
        <f t="shared" si="39"/>
        <v>0</v>
      </c>
      <c r="AL144" s="31">
        <f t="shared" si="40"/>
        <v>0</v>
      </c>
      <c r="AM144" s="31">
        <f t="shared" si="41"/>
        <v>0</v>
      </c>
      <c r="AN144" s="31">
        <f t="shared" si="42"/>
        <v>0</v>
      </c>
      <c r="AO144" s="31">
        <f t="shared" si="43"/>
        <v>0</v>
      </c>
      <c r="AP144" s="31">
        <f t="shared" si="44"/>
        <v>0</v>
      </c>
      <c r="AQ144" s="31">
        <f t="shared" si="45"/>
        <v>0</v>
      </c>
      <c r="AR144" s="31">
        <f t="shared" si="46"/>
        <v>0</v>
      </c>
      <c r="AS144" s="31">
        <f t="shared" si="47"/>
        <v>0</v>
      </c>
      <c r="AT144" s="31">
        <f t="shared" si="48"/>
        <v>0</v>
      </c>
      <c r="AU144" s="244">
        <f aca="true" t="shared" si="50" ref="AU144:AU149">IF(OR(R144="х",S144="х",T144="х",U144="х",V144="х",W144="х",X144="х",Y144="х",Z144="х",AA144="х",AB144="х",AC144="х",AD144="х",AE144="х",AF144="х",AG144="х",AH144="х",AI144="х",AJ144="х",AK144="х",AL144="х",AM144="х",AN144="х",AO144="х",AP144="х",AQ144="х",AR144="х",AS144="х",AT144="х"),0,MAXA(R144:AT144))</f>
        <v>0</v>
      </c>
      <c r="CN144" s="595" t="s">
        <v>69</v>
      </c>
      <c r="CO144" s="277" t="s">
        <v>35</v>
      </c>
      <c r="CP144" s="246"/>
      <c r="CQ144" s="261"/>
      <c r="CR144" s="278">
        <v>0.24</v>
      </c>
      <c r="CS144" s="279">
        <v>0.24</v>
      </c>
      <c r="CT144" s="279">
        <v>0.24</v>
      </c>
      <c r="CU144" s="279">
        <v>0.24</v>
      </c>
      <c r="CV144" s="280">
        <v>0.28</v>
      </c>
      <c r="CW144" s="280">
        <v>0.28</v>
      </c>
      <c r="CX144" s="281">
        <v>0.28</v>
      </c>
      <c r="CY144" s="268" t="s">
        <v>79</v>
      </c>
      <c r="CZ144" s="268" t="s">
        <v>79</v>
      </c>
      <c r="DA144" s="268" t="s">
        <v>79</v>
      </c>
      <c r="DB144" s="268" t="s">
        <v>79</v>
      </c>
      <c r="DC144" s="268" t="s">
        <v>79</v>
      </c>
      <c r="DD144" s="282">
        <v>0.2</v>
      </c>
      <c r="DE144" s="280">
        <v>0.24</v>
      </c>
      <c r="DF144" s="281">
        <v>0.28</v>
      </c>
      <c r="DG144" s="268" t="s">
        <v>79</v>
      </c>
      <c r="DH144" s="268" t="s">
        <v>79</v>
      </c>
      <c r="DI144" s="257">
        <v>0.2</v>
      </c>
      <c r="DJ144" s="256">
        <v>0.2</v>
      </c>
      <c r="DK144" s="256">
        <v>0.2</v>
      </c>
      <c r="DL144" s="256">
        <v>0.2</v>
      </c>
      <c r="DM144" s="256">
        <v>0.2</v>
      </c>
      <c r="DN144" s="256">
        <v>0.2</v>
      </c>
      <c r="DO144" s="256">
        <v>0.24</v>
      </c>
      <c r="DP144" s="256">
        <v>0.24</v>
      </c>
      <c r="DQ144" s="256">
        <v>0.24</v>
      </c>
      <c r="DR144" s="205">
        <v>0.24</v>
      </c>
      <c r="DS144" s="268" t="s">
        <v>79</v>
      </c>
      <c r="DT144" s="268" t="s">
        <v>79</v>
      </c>
      <c r="DV144" s="274"/>
    </row>
    <row r="145" spans="17:126" ht="28.5" customHeight="1" thickBot="1">
      <c r="Q145" s="586"/>
      <c r="R145" s="31">
        <f t="shared" si="20"/>
        <v>0</v>
      </c>
      <c r="S145" s="31">
        <f t="shared" si="21"/>
        <v>0</v>
      </c>
      <c r="T145" s="31">
        <f t="shared" si="22"/>
        <v>0</v>
      </c>
      <c r="U145" s="31">
        <f t="shared" si="23"/>
        <v>0</v>
      </c>
      <c r="V145" s="31">
        <f t="shared" si="24"/>
        <v>0</v>
      </c>
      <c r="W145" s="31">
        <f t="shared" si="25"/>
        <v>0</v>
      </c>
      <c r="X145" s="31">
        <f t="shared" si="26"/>
        <v>0</v>
      </c>
      <c r="Y145" s="31">
        <f t="shared" si="27"/>
        <v>0</v>
      </c>
      <c r="Z145" s="31">
        <f t="shared" si="28"/>
        <v>0</v>
      </c>
      <c r="AA145" s="31">
        <f t="shared" si="29"/>
        <v>0</v>
      </c>
      <c r="AB145" s="31">
        <f t="shared" si="30"/>
        <v>0</v>
      </c>
      <c r="AC145" s="31">
        <f t="shared" si="31"/>
        <v>0</v>
      </c>
      <c r="AD145" s="31">
        <f t="shared" si="32"/>
        <v>0</v>
      </c>
      <c r="AE145" s="31">
        <f t="shared" si="33"/>
        <v>0</v>
      </c>
      <c r="AF145" s="31">
        <f t="shared" si="34"/>
        <v>0</v>
      </c>
      <c r="AG145" s="31">
        <f t="shared" si="35"/>
        <v>0</v>
      </c>
      <c r="AH145" s="31">
        <f t="shared" si="36"/>
        <v>0</v>
      </c>
      <c r="AI145" s="31">
        <f t="shared" si="37"/>
        <v>0</v>
      </c>
      <c r="AJ145" s="31">
        <f t="shared" si="38"/>
        <v>0</v>
      </c>
      <c r="AK145" s="31">
        <f t="shared" si="39"/>
        <v>0</v>
      </c>
      <c r="AL145" s="31">
        <f t="shared" si="40"/>
        <v>0</v>
      </c>
      <c r="AM145" s="31">
        <f t="shared" si="41"/>
        <v>0</v>
      </c>
      <c r="AN145" s="31">
        <f t="shared" si="42"/>
        <v>0</v>
      </c>
      <c r="AO145" s="31">
        <f t="shared" si="43"/>
        <v>0</v>
      </c>
      <c r="AP145" s="31">
        <f t="shared" si="44"/>
        <v>0</v>
      </c>
      <c r="AQ145" s="31">
        <f t="shared" si="45"/>
        <v>0</v>
      </c>
      <c r="AR145" s="31">
        <f t="shared" si="46"/>
        <v>0</v>
      </c>
      <c r="AS145" s="31">
        <f t="shared" si="47"/>
        <v>0</v>
      </c>
      <c r="AT145" s="31">
        <f t="shared" si="48"/>
        <v>0</v>
      </c>
      <c r="AU145" s="244">
        <f t="shared" si="50"/>
        <v>0</v>
      </c>
      <c r="CN145" s="596"/>
      <c r="CO145" s="259" t="s">
        <v>36</v>
      </c>
      <c r="CP145" s="260"/>
      <c r="CQ145" s="261"/>
      <c r="CR145" s="262">
        <v>0.34</v>
      </c>
      <c r="CS145" s="283">
        <v>0.34</v>
      </c>
      <c r="CT145" s="283">
        <v>0.34</v>
      </c>
      <c r="CU145" s="283">
        <v>0.34</v>
      </c>
      <c r="CV145" s="270">
        <v>0.38</v>
      </c>
      <c r="CW145" s="270">
        <v>0.38</v>
      </c>
      <c r="CX145" s="284">
        <v>0.38</v>
      </c>
      <c r="CY145" s="268" t="s">
        <v>79</v>
      </c>
      <c r="CZ145" s="268" t="s">
        <v>79</v>
      </c>
      <c r="DA145" s="268" t="s">
        <v>79</v>
      </c>
      <c r="DB145" s="268" t="s">
        <v>79</v>
      </c>
      <c r="DC145" s="268" t="s">
        <v>79</v>
      </c>
      <c r="DD145" s="269">
        <v>0.3</v>
      </c>
      <c r="DE145" s="270">
        <v>0.34</v>
      </c>
      <c r="DF145" s="284">
        <v>0.38</v>
      </c>
      <c r="DG145" s="268" t="s">
        <v>79</v>
      </c>
      <c r="DH145" s="268" t="s">
        <v>79</v>
      </c>
      <c r="DI145" s="275">
        <v>0.3</v>
      </c>
      <c r="DJ145" s="270">
        <v>0.3</v>
      </c>
      <c r="DK145" s="270">
        <v>0.3</v>
      </c>
      <c r="DL145" s="270">
        <v>0.3</v>
      </c>
      <c r="DM145" s="270">
        <v>0.3</v>
      </c>
      <c r="DN145" s="270">
        <v>0.3</v>
      </c>
      <c r="DO145" s="270">
        <v>0.34</v>
      </c>
      <c r="DP145" s="270">
        <v>0.34</v>
      </c>
      <c r="DQ145" s="270">
        <v>0.34</v>
      </c>
      <c r="DR145" s="285">
        <v>0.34</v>
      </c>
      <c r="DS145" s="268" t="s">
        <v>79</v>
      </c>
      <c r="DT145" s="268" t="s">
        <v>79</v>
      </c>
      <c r="DV145" s="274"/>
    </row>
    <row r="146" spans="17:126" ht="19.5" customHeight="1" thickBot="1">
      <c r="Q146" s="586"/>
      <c r="R146" s="31">
        <f t="shared" si="20"/>
        <v>0</v>
      </c>
      <c r="S146" s="31">
        <f t="shared" si="21"/>
        <v>0</v>
      </c>
      <c r="T146" s="31">
        <f t="shared" si="22"/>
        <v>0</v>
      </c>
      <c r="U146" s="31">
        <f t="shared" si="23"/>
        <v>0</v>
      </c>
      <c r="V146" s="31">
        <f t="shared" si="24"/>
        <v>0</v>
      </c>
      <c r="W146" s="31">
        <f t="shared" si="25"/>
        <v>0</v>
      </c>
      <c r="X146" s="31">
        <f t="shared" si="26"/>
        <v>0</v>
      </c>
      <c r="Y146" s="31">
        <f t="shared" si="27"/>
        <v>0</v>
      </c>
      <c r="Z146" s="31">
        <f t="shared" si="28"/>
        <v>0</v>
      </c>
      <c r="AA146" s="31">
        <f t="shared" si="29"/>
        <v>0</v>
      </c>
      <c r="AB146" s="31">
        <f t="shared" si="30"/>
        <v>0</v>
      </c>
      <c r="AC146" s="31">
        <f t="shared" si="31"/>
        <v>0</v>
      </c>
      <c r="AD146" s="31">
        <f t="shared" si="32"/>
        <v>0</v>
      </c>
      <c r="AE146" s="31">
        <f t="shared" si="33"/>
        <v>0</v>
      </c>
      <c r="AF146" s="31">
        <f t="shared" si="34"/>
        <v>0</v>
      </c>
      <c r="AG146" s="31">
        <f t="shared" si="35"/>
        <v>0</v>
      </c>
      <c r="AH146" s="31">
        <f t="shared" si="36"/>
        <v>0</v>
      </c>
      <c r="AI146" s="31">
        <f t="shared" si="37"/>
        <v>0</v>
      </c>
      <c r="AJ146" s="31">
        <f t="shared" si="38"/>
        <v>0</v>
      </c>
      <c r="AK146" s="31">
        <f t="shared" si="39"/>
        <v>0</v>
      </c>
      <c r="AL146" s="31">
        <f t="shared" si="40"/>
        <v>0</v>
      </c>
      <c r="AM146" s="31">
        <f t="shared" si="41"/>
        <v>0</v>
      </c>
      <c r="AN146" s="31">
        <f t="shared" si="42"/>
        <v>0</v>
      </c>
      <c r="AO146" s="31">
        <f t="shared" si="43"/>
        <v>0</v>
      </c>
      <c r="AP146" s="31">
        <f t="shared" si="44"/>
        <v>0</v>
      </c>
      <c r="AQ146" s="31">
        <f t="shared" si="45"/>
        <v>0</v>
      </c>
      <c r="AR146" s="31">
        <f t="shared" si="46"/>
        <v>0</v>
      </c>
      <c r="AS146" s="31">
        <f t="shared" si="47"/>
        <v>0</v>
      </c>
      <c r="AT146" s="31">
        <f t="shared" si="48"/>
        <v>0</v>
      </c>
      <c r="AU146" s="244">
        <f t="shared" si="50"/>
        <v>0</v>
      </c>
      <c r="CN146" s="596"/>
      <c r="CO146" s="259" t="s">
        <v>37</v>
      </c>
      <c r="CP146" s="260"/>
      <c r="CQ146" s="261"/>
      <c r="CR146" s="262">
        <v>0.24</v>
      </c>
      <c r="CS146" s="283">
        <v>0.24</v>
      </c>
      <c r="CT146" s="283">
        <v>0.24</v>
      </c>
      <c r="CU146" s="283">
        <v>0.24</v>
      </c>
      <c r="CV146" s="270">
        <v>0.28</v>
      </c>
      <c r="CW146" s="270">
        <v>0.28</v>
      </c>
      <c r="CX146" s="284">
        <v>0.28</v>
      </c>
      <c r="CY146" s="268" t="s">
        <v>79</v>
      </c>
      <c r="CZ146" s="268" t="s">
        <v>79</v>
      </c>
      <c r="DA146" s="268" t="s">
        <v>79</v>
      </c>
      <c r="DB146" s="268" t="s">
        <v>79</v>
      </c>
      <c r="DC146" s="268" t="s">
        <v>79</v>
      </c>
      <c r="DD146" s="269">
        <v>0.2</v>
      </c>
      <c r="DE146" s="270">
        <v>0.24</v>
      </c>
      <c r="DF146" s="284">
        <v>0.28</v>
      </c>
      <c r="DG146" s="268" t="s">
        <v>79</v>
      </c>
      <c r="DH146" s="268" t="s">
        <v>79</v>
      </c>
      <c r="DI146" s="275">
        <v>0.2</v>
      </c>
      <c r="DJ146" s="270">
        <v>0.2</v>
      </c>
      <c r="DK146" s="270">
        <v>0.2</v>
      </c>
      <c r="DL146" s="270">
        <v>0.2</v>
      </c>
      <c r="DM146" s="270">
        <v>0.2</v>
      </c>
      <c r="DN146" s="270">
        <v>0.2</v>
      </c>
      <c r="DO146" s="270">
        <v>0.24</v>
      </c>
      <c r="DP146" s="270">
        <v>0.24</v>
      </c>
      <c r="DQ146" s="270">
        <v>0.24</v>
      </c>
      <c r="DR146" s="285">
        <v>0.24</v>
      </c>
      <c r="DS146" s="268" t="s">
        <v>79</v>
      </c>
      <c r="DT146" s="268" t="s">
        <v>79</v>
      </c>
      <c r="DV146" s="274"/>
    </row>
    <row r="147" spans="17:126" ht="27" customHeight="1" thickBot="1">
      <c r="Q147" s="586"/>
      <c r="R147" s="31">
        <f t="shared" si="20"/>
        <v>0</v>
      </c>
      <c r="S147" s="31">
        <f t="shared" si="21"/>
        <v>0</v>
      </c>
      <c r="T147" s="31">
        <f t="shared" si="22"/>
        <v>0</v>
      </c>
      <c r="U147" s="31">
        <f t="shared" si="23"/>
        <v>0</v>
      </c>
      <c r="V147" s="31">
        <f t="shared" si="24"/>
        <v>0</v>
      </c>
      <c r="W147" s="31">
        <f t="shared" si="25"/>
        <v>0</v>
      </c>
      <c r="X147" s="31">
        <f t="shared" si="26"/>
        <v>0</v>
      </c>
      <c r="Y147" s="31">
        <f t="shared" si="27"/>
        <v>0</v>
      </c>
      <c r="Z147" s="31">
        <f t="shared" si="28"/>
        <v>0</v>
      </c>
      <c r="AA147" s="31">
        <f t="shared" si="29"/>
        <v>0</v>
      </c>
      <c r="AB147" s="31">
        <f t="shared" si="30"/>
        <v>0</v>
      </c>
      <c r="AC147" s="31">
        <f t="shared" si="31"/>
        <v>0</v>
      </c>
      <c r="AD147" s="31">
        <f t="shared" si="32"/>
        <v>0</v>
      </c>
      <c r="AE147" s="31">
        <f t="shared" si="33"/>
        <v>0</v>
      </c>
      <c r="AF147" s="31">
        <f t="shared" si="34"/>
        <v>0</v>
      </c>
      <c r="AG147" s="31">
        <f t="shared" si="35"/>
        <v>0</v>
      </c>
      <c r="AH147" s="31">
        <f t="shared" si="36"/>
        <v>0</v>
      </c>
      <c r="AI147" s="31">
        <f t="shared" si="37"/>
        <v>0</v>
      </c>
      <c r="AJ147" s="31">
        <f t="shared" si="38"/>
        <v>0</v>
      </c>
      <c r="AK147" s="31">
        <f t="shared" si="39"/>
        <v>0</v>
      </c>
      <c r="AL147" s="31">
        <f t="shared" si="40"/>
        <v>0</v>
      </c>
      <c r="AM147" s="31">
        <f t="shared" si="41"/>
        <v>0</v>
      </c>
      <c r="AN147" s="31">
        <f t="shared" si="42"/>
        <v>0</v>
      </c>
      <c r="AO147" s="31">
        <f t="shared" si="43"/>
        <v>0</v>
      </c>
      <c r="AP147" s="31">
        <f t="shared" si="44"/>
        <v>0</v>
      </c>
      <c r="AQ147" s="31">
        <f t="shared" si="45"/>
        <v>0</v>
      </c>
      <c r="AR147" s="31">
        <f t="shared" si="46"/>
        <v>0</v>
      </c>
      <c r="AS147" s="31">
        <f t="shared" si="47"/>
        <v>0</v>
      </c>
      <c r="AT147" s="31">
        <f t="shared" si="48"/>
        <v>0</v>
      </c>
      <c r="AU147" s="244">
        <f t="shared" si="50"/>
        <v>0</v>
      </c>
      <c r="CN147" s="596"/>
      <c r="CO147" s="259" t="s">
        <v>38</v>
      </c>
      <c r="CP147" s="276"/>
      <c r="CQ147" s="261"/>
      <c r="CR147" s="262">
        <v>0.29</v>
      </c>
      <c r="CS147" s="283">
        <v>0.29</v>
      </c>
      <c r="CT147" s="283">
        <v>0.29</v>
      </c>
      <c r="CU147" s="283">
        <v>0.29</v>
      </c>
      <c r="CV147" s="270">
        <v>0.33</v>
      </c>
      <c r="CW147" s="270">
        <v>0.33</v>
      </c>
      <c r="CX147" s="284">
        <v>0.33</v>
      </c>
      <c r="CY147" s="268" t="s">
        <v>79</v>
      </c>
      <c r="CZ147" s="268" t="s">
        <v>79</v>
      </c>
      <c r="DA147" s="268" t="s">
        <v>79</v>
      </c>
      <c r="DB147" s="268" t="s">
        <v>79</v>
      </c>
      <c r="DC147" s="268" t="s">
        <v>79</v>
      </c>
      <c r="DD147" s="269">
        <v>0.25</v>
      </c>
      <c r="DE147" s="270">
        <v>0.29</v>
      </c>
      <c r="DF147" s="284">
        <v>0.33</v>
      </c>
      <c r="DG147" s="268" t="s">
        <v>79</v>
      </c>
      <c r="DH147" s="268" t="s">
        <v>79</v>
      </c>
      <c r="DI147" s="275">
        <v>0.25</v>
      </c>
      <c r="DJ147" s="270">
        <v>0.25</v>
      </c>
      <c r="DK147" s="270">
        <v>0.25</v>
      </c>
      <c r="DL147" s="270">
        <v>0.25</v>
      </c>
      <c r="DM147" s="270">
        <v>0.25</v>
      </c>
      <c r="DN147" s="270">
        <v>0.25</v>
      </c>
      <c r="DO147" s="270">
        <v>0.29</v>
      </c>
      <c r="DP147" s="270">
        <v>0.29</v>
      </c>
      <c r="DQ147" s="270">
        <v>0.29</v>
      </c>
      <c r="DR147" s="285">
        <v>0.29</v>
      </c>
      <c r="DS147" s="268" t="s">
        <v>79</v>
      </c>
      <c r="DT147" s="268" t="s">
        <v>79</v>
      </c>
      <c r="DV147" s="274"/>
    </row>
    <row r="148" spans="17:126" ht="33.75" customHeight="1" thickBot="1">
      <c r="Q148" s="586"/>
      <c r="R148" s="31">
        <f t="shared" si="20"/>
        <v>0</v>
      </c>
      <c r="S148" s="31">
        <f t="shared" si="21"/>
        <v>0</v>
      </c>
      <c r="T148" s="31">
        <f t="shared" si="22"/>
        <v>0</v>
      </c>
      <c r="U148" s="31">
        <f t="shared" si="23"/>
        <v>0</v>
      </c>
      <c r="V148" s="31">
        <f t="shared" si="24"/>
        <v>0</v>
      </c>
      <c r="W148" s="31">
        <f t="shared" si="25"/>
        <v>0</v>
      </c>
      <c r="X148" s="31">
        <f t="shared" si="26"/>
        <v>0</v>
      </c>
      <c r="Y148" s="31">
        <f t="shared" si="27"/>
        <v>0</v>
      </c>
      <c r="Z148" s="31">
        <f t="shared" si="28"/>
        <v>0</v>
      </c>
      <c r="AA148" s="31">
        <f t="shared" si="29"/>
        <v>0</v>
      </c>
      <c r="AB148" s="31">
        <f t="shared" si="30"/>
        <v>0</v>
      </c>
      <c r="AC148" s="31">
        <f t="shared" si="31"/>
        <v>0</v>
      </c>
      <c r="AD148" s="31">
        <f t="shared" si="32"/>
        <v>0</v>
      </c>
      <c r="AE148" s="31">
        <f t="shared" si="33"/>
        <v>0</v>
      </c>
      <c r="AF148" s="31">
        <f t="shared" si="34"/>
        <v>0</v>
      </c>
      <c r="AG148" s="31">
        <f t="shared" si="35"/>
        <v>0</v>
      </c>
      <c r="AH148" s="31">
        <f t="shared" si="36"/>
        <v>0</v>
      </c>
      <c r="AI148" s="31">
        <f t="shared" si="37"/>
        <v>0</v>
      </c>
      <c r="AJ148" s="31">
        <f t="shared" si="38"/>
        <v>0</v>
      </c>
      <c r="AK148" s="31">
        <f t="shared" si="39"/>
        <v>0</v>
      </c>
      <c r="AL148" s="31">
        <f t="shared" si="40"/>
        <v>0</v>
      </c>
      <c r="AM148" s="31">
        <f t="shared" si="41"/>
        <v>0</v>
      </c>
      <c r="AN148" s="31">
        <f t="shared" si="42"/>
        <v>0</v>
      </c>
      <c r="AO148" s="31">
        <f t="shared" si="43"/>
        <v>0</v>
      </c>
      <c r="AP148" s="31">
        <f t="shared" si="44"/>
        <v>0</v>
      </c>
      <c r="AQ148" s="31">
        <f t="shared" si="45"/>
        <v>0</v>
      </c>
      <c r="AR148" s="31">
        <f t="shared" si="46"/>
        <v>0</v>
      </c>
      <c r="AS148" s="31">
        <f t="shared" si="47"/>
        <v>0</v>
      </c>
      <c r="AT148" s="31">
        <f t="shared" si="48"/>
        <v>0</v>
      </c>
      <c r="AU148" s="244">
        <f t="shared" si="50"/>
        <v>0</v>
      </c>
      <c r="CN148" s="597"/>
      <c r="CO148" s="286" t="s">
        <v>39</v>
      </c>
      <c r="CP148" s="246"/>
      <c r="CQ148" s="261"/>
      <c r="CR148" s="262">
        <v>0.3</v>
      </c>
      <c r="CS148" s="283">
        <v>0.3</v>
      </c>
      <c r="CT148" s="283">
        <v>0.3</v>
      </c>
      <c r="CU148" s="283">
        <v>0.3</v>
      </c>
      <c r="CV148" s="270">
        <v>0.34</v>
      </c>
      <c r="CW148" s="270">
        <v>0.34</v>
      </c>
      <c r="CX148" s="284">
        <v>0.34</v>
      </c>
      <c r="CY148" s="268" t="s">
        <v>79</v>
      </c>
      <c r="CZ148" s="268" t="s">
        <v>79</v>
      </c>
      <c r="DA148" s="268" t="s">
        <v>79</v>
      </c>
      <c r="DB148" s="268" t="s">
        <v>79</v>
      </c>
      <c r="DC148" s="268" t="s">
        <v>79</v>
      </c>
      <c r="DD148" s="269">
        <v>0.25</v>
      </c>
      <c r="DE148" s="270">
        <v>0.3</v>
      </c>
      <c r="DF148" s="284">
        <v>0.35</v>
      </c>
      <c r="DG148" s="268" t="s">
        <v>79</v>
      </c>
      <c r="DH148" s="268" t="s">
        <v>79</v>
      </c>
      <c r="DI148" s="275">
        <v>0.25</v>
      </c>
      <c r="DJ148" s="270">
        <v>0.25</v>
      </c>
      <c r="DK148" s="270">
        <v>0.25</v>
      </c>
      <c r="DL148" s="270">
        <v>0.25</v>
      </c>
      <c r="DM148" s="270">
        <v>0.25</v>
      </c>
      <c r="DN148" s="270">
        <v>0.25</v>
      </c>
      <c r="DO148" s="270">
        <v>0.3</v>
      </c>
      <c r="DP148" s="270">
        <v>0.3</v>
      </c>
      <c r="DQ148" s="270">
        <v>0.3</v>
      </c>
      <c r="DR148" s="285">
        <v>0.3</v>
      </c>
      <c r="DS148" s="268" t="s">
        <v>79</v>
      </c>
      <c r="DT148" s="268" t="s">
        <v>79</v>
      </c>
      <c r="DV148" s="274"/>
    </row>
    <row r="149" spans="17:126" ht="102.75" customHeight="1" thickBot="1">
      <c r="Q149" s="585" t="s">
        <v>70</v>
      </c>
      <c r="R149" s="31">
        <f t="shared" si="20"/>
        <v>0</v>
      </c>
      <c r="S149" s="31">
        <f t="shared" si="21"/>
        <v>0</v>
      </c>
      <c r="T149" s="31">
        <f t="shared" si="22"/>
        <v>0</v>
      </c>
      <c r="U149" s="31">
        <f t="shared" si="23"/>
        <v>0</v>
      </c>
      <c r="V149" s="31">
        <f t="shared" si="24"/>
        <v>0</v>
      </c>
      <c r="W149" s="31">
        <f t="shared" si="25"/>
        <v>0</v>
      </c>
      <c r="X149" s="31">
        <f t="shared" si="26"/>
        <v>0</v>
      </c>
      <c r="Y149" s="31">
        <f t="shared" si="27"/>
        <v>0</v>
      </c>
      <c r="Z149" s="31">
        <f t="shared" si="28"/>
        <v>0</v>
      </c>
      <c r="AA149" s="31">
        <f t="shared" si="29"/>
        <v>0</v>
      </c>
      <c r="AB149" s="31">
        <f t="shared" si="30"/>
        <v>0</v>
      </c>
      <c r="AC149" s="31">
        <f t="shared" si="31"/>
        <v>0</v>
      </c>
      <c r="AD149" s="31">
        <f t="shared" si="32"/>
        <v>0</v>
      </c>
      <c r="AE149" s="31">
        <f t="shared" si="33"/>
        <v>0</v>
      </c>
      <c r="AF149" s="31">
        <f t="shared" si="34"/>
        <v>0</v>
      </c>
      <c r="AG149" s="31">
        <f t="shared" si="35"/>
        <v>0</v>
      </c>
      <c r="AH149" s="31">
        <f t="shared" si="36"/>
        <v>0</v>
      </c>
      <c r="AI149" s="31">
        <f t="shared" si="37"/>
        <v>0</v>
      </c>
      <c r="AJ149" s="31">
        <f t="shared" si="38"/>
        <v>0</v>
      </c>
      <c r="AK149" s="31">
        <f t="shared" si="39"/>
        <v>0</v>
      </c>
      <c r="AL149" s="31">
        <f t="shared" si="40"/>
        <v>0</v>
      </c>
      <c r="AM149" s="31">
        <f t="shared" si="41"/>
        <v>0</v>
      </c>
      <c r="AN149" s="31">
        <f t="shared" si="42"/>
        <v>0</v>
      </c>
      <c r="AO149" s="31">
        <f t="shared" si="43"/>
        <v>0</v>
      </c>
      <c r="AP149" s="31">
        <f t="shared" si="44"/>
        <v>0</v>
      </c>
      <c r="AQ149" s="31">
        <f t="shared" si="45"/>
        <v>0</v>
      </c>
      <c r="AR149" s="31">
        <f t="shared" si="46"/>
        <v>0</v>
      </c>
      <c r="AS149" s="31">
        <f t="shared" si="47"/>
        <v>0</v>
      </c>
      <c r="AT149" s="31">
        <f t="shared" si="48"/>
        <v>0</v>
      </c>
      <c r="AU149" s="244">
        <f t="shared" si="50"/>
        <v>0</v>
      </c>
      <c r="CN149" s="595" t="s">
        <v>70</v>
      </c>
      <c r="CO149" s="287" t="s">
        <v>40</v>
      </c>
      <c r="CP149" s="260"/>
      <c r="CQ149" s="261"/>
      <c r="CR149" s="262">
        <v>0.36</v>
      </c>
      <c r="CS149" s="283">
        <v>0.36</v>
      </c>
      <c r="CT149" s="283">
        <v>0.36</v>
      </c>
      <c r="CU149" s="283">
        <v>0.36</v>
      </c>
      <c r="CV149" s="270">
        <v>0.4</v>
      </c>
      <c r="CW149" s="270">
        <v>0.4</v>
      </c>
      <c r="CX149" s="284">
        <v>0.4</v>
      </c>
      <c r="CY149" s="268" t="s">
        <v>79</v>
      </c>
      <c r="CZ149" s="268" t="s">
        <v>79</v>
      </c>
      <c r="DA149" s="268" t="s">
        <v>79</v>
      </c>
      <c r="DB149" s="268" t="s">
        <v>79</v>
      </c>
      <c r="DC149" s="268" t="s">
        <v>79</v>
      </c>
      <c r="DD149" s="269">
        <v>0.32</v>
      </c>
      <c r="DE149" s="270">
        <v>0.36</v>
      </c>
      <c r="DF149" s="284">
        <v>0.4</v>
      </c>
      <c r="DG149" s="268" t="s">
        <v>79</v>
      </c>
      <c r="DH149" s="268" t="s">
        <v>79</v>
      </c>
      <c r="DI149" s="269">
        <v>0.32</v>
      </c>
      <c r="DJ149" s="269">
        <v>0.32</v>
      </c>
      <c r="DK149" s="269">
        <v>0.32</v>
      </c>
      <c r="DL149" s="269">
        <v>0.32</v>
      </c>
      <c r="DM149" s="269">
        <v>0.32</v>
      </c>
      <c r="DN149" s="269">
        <v>0.32</v>
      </c>
      <c r="DO149" s="270">
        <v>0.36</v>
      </c>
      <c r="DP149" s="270">
        <v>0.36</v>
      </c>
      <c r="DQ149" s="270">
        <v>0.36</v>
      </c>
      <c r="DR149" s="270">
        <v>0.36</v>
      </c>
      <c r="DS149" s="268" t="s">
        <v>79</v>
      </c>
      <c r="DT149" s="268" t="s">
        <v>79</v>
      </c>
      <c r="DV149" s="274"/>
    </row>
    <row r="150" spans="17:126" ht="16.5" customHeight="1" thickBot="1">
      <c r="Q150" s="586"/>
      <c r="R150" s="31">
        <f t="shared" si="20"/>
        <v>0</v>
      </c>
      <c r="S150" s="31">
        <f t="shared" si="21"/>
        <v>0</v>
      </c>
      <c r="T150" s="31">
        <f t="shared" si="22"/>
        <v>0</v>
      </c>
      <c r="U150" s="31">
        <f t="shared" si="23"/>
        <v>0</v>
      </c>
      <c r="V150" s="31">
        <f t="shared" si="24"/>
        <v>0</v>
      </c>
      <c r="W150" s="31">
        <f t="shared" si="25"/>
        <v>0</v>
      </c>
      <c r="X150" s="31">
        <f t="shared" si="26"/>
        <v>0</v>
      </c>
      <c r="Y150" s="31">
        <f t="shared" si="27"/>
        <v>0</v>
      </c>
      <c r="Z150" s="31">
        <f t="shared" si="28"/>
        <v>0</v>
      </c>
      <c r="AA150" s="31">
        <f t="shared" si="29"/>
        <v>0</v>
      </c>
      <c r="AB150" s="31">
        <f t="shared" si="30"/>
        <v>0</v>
      </c>
      <c r="AC150" s="31">
        <f t="shared" si="31"/>
        <v>0</v>
      </c>
      <c r="AD150" s="31">
        <f t="shared" si="32"/>
        <v>0</v>
      </c>
      <c r="AE150" s="31">
        <f t="shared" si="33"/>
        <v>0</v>
      </c>
      <c r="AF150" s="31">
        <f t="shared" si="34"/>
        <v>0</v>
      </c>
      <c r="AG150" s="31">
        <f t="shared" si="35"/>
        <v>0</v>
      </c>
      <c r="AH150" s="31">
        <f t="shared" si="36"/>
        <v>0</v>
      </c>
      <c r="AI150" s="31">
        <f t="shared" si="37"/>
        <v>0</v>
      </c>
      <c r="AJ150" s="31">
        <f t="shared" si="38"/>
        <v>0</v>
      </c>
      <c r="AK150" s="31">
        <f t="shared" si="39"/>
        <v>0</v>
      </c>
      <c r="AL150" s="31">
        <f t="shared" si="40"/>
        <v>0</v>
      </c>
      <c r="AM150" s="31">
        <f t="shared" si="41"/>
        <v>0</v>
      </c>
      <c r="AN150" s="31">
        <f t="shared" si="42"/>
        <v>0</v>
      </c>
      <c r="AO150" s="31">
        <f t="shared" si="43"/>
        <v>0</v>
      </c>
      <c r="AP150" s="31">
        <f t="shared" si="44"/>
        <v>0</v>
      </c>
      <c r="AQ150" s="31">
        <f t="shared" si="45"/>
        <v>0</v>
      </c>
      <c r="AR150" s="31">
        <f t="shared" si="46"/>
        <v>0</v>
      </c>
      <c r="AS150" s="31">
        <f t="shared" si="47"/>
        <v>0</v>
      </c>
      <c r="AT150" s="31">
        <f t="shared" si="48"/>
        <v>0</v>
      </c>
      <c r="AU150" s="244">
        <f>IF(OR(R150="х",S150="х",T150="х",U150="х",V150="х",W150="х",X150="х",Y150="х",Z150="х",AA150="х",AB150="х",AC150="х",AD150="х",AE150="х",AF150="х",AG150="х",AH150="х",AI150="х",AJ150="х",AK150="х",AL150="х",AM150="х",AN150="х",AO150="х",AP150="х",AQ150="х",AR150="х",AS150="х",AT150="х"),0,MAXA(R150:AT150))</f>
        <v>0</v>
      </c>
      <c r="CN150" s="596"/>
      <c r="CO150" s="288" t="s">
        <v>41</v>
      </c>
      <c r="CP150" s="276"/>
      <c r="CQ150" s="261"/>
      <c r="CR150" s="262">
        <v>0.29</v>
      </c>
      <c r="CS150" s="283">
        <v>0.29</v>
      </c>
      <c r="CT150" s="283">
        <v>0.29</v>
      </c>
      <c r="CU150" s="283">
        <v>0.29</v>
      </c>
      <c r="CV150" s="270">
        <v>0.33</v>
      </c>
      <c r="CW150" s="270">
        <v>0.33</v>
      </c>
      <c r="CX150" s="284">
        <v>0.33</v>
      </c>
      <c r="CY150" s="268" t="s">
        <v>79</v>
      </c>
      <c r="CZ150" s="268" t="s">
        <v>79</v>
      </c>
      <c r="DA150" s="268" t="s">
        <v>79</v>
      </c>
      <c r="DB150" s="268" t="s">
        <v>79</v>
      </c>
      <c r="DC150" s="268" t="s">
        <v>79</v>
      </c>
      <c r="DD150" s="269">
        <v>0.25</v>
      </c>
      <c r="DE150" s="270">
        <v>0.29</v>
      </c>
      <c r="DF150" s="284">
        <v>0.33</v>
      </c>
      <c r="DG150" s="268" t="s">
        <v>79</v>
      </c>
      <c r="DH150" s="268" t="s">
        <v>79</v>
      </c>
      <c r="DI150" s="269">
        <v>0.25</v>
      </c>
      <c r="DJ150" s="269">
        <v>0.25</v>
      </c>
      <c r="DK150" s="269">
        <v>0.25</v>
      </c>
      <c r="DL150" s="269">
        <v>0.25</v>
      </c>
      <c r="DM150" s="269">
        <v>0.25</v>
      </c>
      <c r="DN150" s="269">
        <v>0.25</v>
      </c>
      <c r="DO150" s="270">
        <v>0.29</v>
      </c>
      <c r="DP150" s="270">
        <v>0.29</v>
      </c>
      <c r="DQ150" s="270">
        <v>0.29</v>
      </c>
      <c r="DR150" s="270">
        <v>0.29</v>
      </c>
      <c r="DS150" s="268" t="s">
        <v>79</v>
      </c>
      <c r="DT150" s="268" t="s">
        <v>79</v>
      </c>
      <c r="DV150" s="274"/>
    </row>
    <row r="151" spans="8:126" ht="62.25" customHeight="1" thickBot="1">
      <c r="H151" s="5"/>
      <c r="I151" s="5"/>
      <c r="J151" s="5"/>
      <c r="Q151" s="587"/>
      <c r="R151" s="31">
        <f t="shared" si="20"/>
        <v>0</v>
      </c>
      <c r="S151" s="31">
        <f t="shared" si="21"/>
        <v>0</v>
      </c>
      <c r="T151" s="31">
        <f t="shared" si="22"/>
        <v>0</v>
      </c>
      <c r="U151" s="31">
        <f t="shared" si="23"/>
        <v>0</v>
      </c>
      <c r="V151" s="31">
        <f t="shared" si="24"/>
        <v>0</v>
      </c>
      <c r="W151" s="31">
        <f t="shared" si="25"/>
        <v>0</v>
      </c>
      <c r="X151" s="31">
        <f t="shared" si="26"/>
        <v>0</v>
      </c>
      <c r="Y151" s="31">
        <f t="shared" si="27"/>
        <v>0</v>
      </c>
      <c r="Z151" s="31">
        <f t="shared" si="28"/>
        <v>0</v>
      </c>
      <c r="AA151" s="31">
        <f t="shared" si="29"/>
        <v>0</v>
      </c>
      <c r="AB151" s="31">
        <f t="shared" si="30"/>
        <v>0</v>
      </c>
      <c r="AC151" s="31">
        <f t="shared" si="31"/>
        <v>0</v>
      </c>
      <c r="AD151" s="31">
        <f t="shared" si="32"/>
        <v>0</v>
      </c>
      <c r="AE151" s="31">
        <f t="shared" si="33"/>
        <v>0</v>
      </c>
      <c r="AF151" s="31">
        <f t="shared" si="34"/>
        <v>0</v>
      </c>
      <c r="AG151" s="31">
        <f t="shared" si="35"/>
        <v>0</v>
      </c>
      <c r="AH151" s="31">
        <f t="shared" si="36"/>
        <v>0</v>
      </c>
      <c r="AI151" s="31">
        <f t="shared" si="37"/>
        <v>0</v>
      </c>
      <c r="AJ151" s="31">
        <f t="shared" si="38"/>
        <v>0</v>
      </c>
      <c r="AK151" s="31">
        <f t="shared" si="39"/>
        <v>0</v>
      </c>
      <c r="AL151" s="31">
        <f t="shared" si="40"/>
        <v>0</v>
      </c>
      <c r="AM151" s="31">
        <f t="shared" si="41"/>
        <v>0</v>
      </c>
      <c r="AN151" s="31">
        <f t="shared" si="42"/>
        <v>0</v>
      </c>
      <c r="AO151" s="31">
        <f t="shared" si="43"/>
        <v>0</v>
      </c>
      <c r="AP151" s="31">
        <f t="shared" si="44"/>
        <v>0</v>
      </c>
      <c r="AQ151" s="31">
        <f t="shared" si="45"/>
        <v>0</v>
      </c>
      <c r="AR151" s="31">
        <f t="shared" si="46"/>
        <v>0</v>
      </c>
      <c r="AS151" s="31">
        <f t="shared" si="47"/>
        <v>0</v>
      </c>
      <c r="AT151" s="31">
        <f t="shared" si="48"/>
        <v>0</v>
      </c>
      <c r="AU151" s="244">
        <f>IF(OR(R151="х",S151="х",T151="х",U151="х",V151="х",W151="х",X151="х",Y151="х",Z151="х",AA151="х",AB151="х",AC151="х",AD151="х",AE151="х",AF151="х",AG151="х",AH151="х",AI151="х",AJ151="х",AK151="х",AL151="х",AM151="х",AN151="х",AO151="х",AP151="х",AQ151="х",AR151="х",AS151="х",AT151="х"),0,MAXA(R151:AT151))</f>
        <v>0</v>
      </c>
      <c r="CN151" s="597"/>
      <c r="CO151" s="289" t="s">
        <v>42</v>
      </c>
      <c r="CP151" s="246"/>
      <c r="CQ151" s="261"/>
      <c r="CR151" s="268" t="s">
        <v>79</v>
      </c>
      <c r="CS151" s="268" t="s">
        <v>79</v>
      </c>
      <c r="CT151" s="268" t="s">
        <v>79</v>
      </c>
      <c r="CU151" s="268" t="s">
        <v>79</v>
      </c>
      <c r="CV151" s="268" t="s">
        <v>79</v>
      </c>
      <c r="CW151" s="268" t="s">
        <v>79</v>
      </c>
      <c r="CX151" s="268" t="s">
        <v>79</v>
      </c>
      <c r="CY151" s="268" t="s">
        <v>79</v>
      </c>
      <c r="CZ151" s="268" t="s">
        <v>79</v>
      </c>
      <c r="DA151" s="268" t="s">
        <v>79</v>
      </c>
      <c r="DB151" s="268" t="s">
        <v>79</v>
      </c>
      <c r="DC151" s="268" t="s">
        <v>79</v>
      </c>
      <c r="DD151" s="268" t="s">
        <v>79</v>
      </c>
      <c r="DE151" s="268" t="s">
        <v>79</v>
      </c>
      <c r="DF151" s="268" t="s">
        <v>79</v>
      </c>
      <c r="DG151" s="268" t="s">
        <v>79</v>
      </c>
      <c r="DH151" s="268" t="s">
        <v>79</v>
      </c>
      <c r="DI151" s="268" t="s">
        <v>79</v>
      </c>
      <c r="DJ151" s="268" t="s">
        <v>79</v>
      </c>
      <c r="DK151" s="268" t="s">
        <v>79</v>
      </c>
      <c r="DL151" s="268" t="s">
        <v>79</v>
      </c>
      <c r="DM151" s="268" t="s">
        <v>79</v>
      </c>
      <c r="DN151" s="268" t="s">
        <v>79</v>
      </c>
      <c r="DO151" s="268" t="s">
        <v>79</v>
      </c>
      <c r="DP151" s="268" t="s">
        <v>79</v>
      </c>
      <c r="DQ151" s="268" t="s">
        <v>79</v>
      </c>
      <c r="DR151" s="268" t="s">
        <v>79</v>
      </c>
      <c r="DS151" s="290" t="s">
        <v>79</v>
      </c>
      <c r="DT151" s="290" t="s">
        <v>79</v>
      </c>
      <c r="DV151" s="291"/>
    </row>
    <row r="152" spans="8:128" s="5" customFormat="1" ht="20.25" customHeight="1" thickBot="1">
      <c r="H152" s="3"/>
      <c r="I152" s="3"/>
      <c r="J152" s="3"/>
      <c r="M152" s="4"/>
      <c r="CL152" s="6"/>
      <c r="CN152" s="292"/>
      <c r="CO152" s="293"/>
      <c r="CP152" s="293"/>
      <c r="CQ152" s="258"/>
      <c r="CR152" s="258"/>
      <c r="CS152" s="258"/>
      <c r="CT152" s="258"/>
      <c r="CU152" s="258"/>
      <c r="CV152" s="258"/>
      <c r="CW152" s="258"/>
      <c r="CX152" s="258"/>
      <c r="CY152" s="258"/>
      <c r="CZ152" s="258"/>
      <c r="DA152" s="258"/>
      <c r="DB152" s="294"/>
      <c r="DC152" s="295"/>
      <c r="DD152" s="295"/>
      <c r="DE152" s="295"/>
      <c r="DF152" s="295"/>
      <c r="DG152" s="295"/>
      <c r="DH152" s="295"/>
      <c r="DI152" s="295"/>
      <c r="DJ152" s="295"/>
      <c r="DK152" s="295"/>
      <c r="DL152" s="295"/>
      <c r="DM152" s="295"/>
      <c r="DN152" s="295"/>
      <c r="DO152" s="295"/>
      <c r="DP152" s="295"/>
      <c r="DQ152" s="295"/>
      <c r="DR152" s="295"/>
      <c r="DS152" s="295"/>
      <c r="DT152" s="296"/>
      <c r="DU152" s="297"/>
      <c r="DV152" s="298"/>
      <c r="DW152" s="299"/>
      <c r="DX152" s="9"/>
    </row>
    <row r="153" spans="92:124" ht="13.5" customHeight="1">
      <c r="CN153" s="553" t="s">
        <v>15</v>
      </c>
      <c r="CO153" s="553"/>
      <c r="CP153" s="553"/>
      <c r="CQ153" s="553"/>
      <c r="CR153" s="553"/>
      <c r="CS153" s="553"/>
      <c r="CT153" s="553"/>
      <c r="CU153" s="553"/>
      <c r="CV153" s="553"/>
      <c r="CW153" s="553"/>
      <c r="CX153" s="553"/>
      <c r="CY153" s="553"/>
      <c r="CZ153" s="553"/>
      <c r="DA153" s="553"/>
      <c r="DB153" s="553"/>
      <c r="DC153" s="553"/>
      <c r="DD153" s="553"/>
      <c r="DE153" s="553"/>
      <c r="DF153" s="553"/>
      <c r="DG153" s="553"/>
      <c r="DH153" s="553"/>
      <c r="DI153" s="553"/>
      <c r="DJ153" s="553"/>
      <c r="DK153" s="553"/>
      <c r="DL153" s="553"/>
      <c r="DM153" s="553"/>
      <c r="DN153" s="553"/>
      <c r="DO153" s="553"/>
      <c r="DP153" s="553"/>
      <c r="DQ153" s="553"/>
      <c r="DR153" s="553"/>
      <c r="DS153" s="553"/>
      <c r="DT153" s="179"/>
    </row>
    <row r="154" spans="8:46" ht="5.25" customHeight="1">
      <c r="H154" s="7"/>
      <c r="I154" s="7"/>
      <c r="J154" s="7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spans="13:128" s="7" customFormat="1" ht="24" customHeight="1" thickBot="1">
      <c r="M155" s="184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CL155" s="185"/>
      <c r="CM155" s="8"/>
      <c r="CN155" s="626" t="s">
        <v>10</v>
      </c>
      <c r="CO155" s="627"/>
      <c r="CP155" s="285"/>
      <c r="CQ155" s="300"/>
      <c r="CR155" s="640" t="s">
        <v>17</v>
      </c>
      <c r="CS155" s="628"/>
      <c r="CT155" s="628"/>
      <c r="CU155" s="628"/>
      <c r="CV155" s="628"/>
      <c r="CW155" s="628"/>
      <c r="CX155" s="628"/>
      <c r="CY155" s="628"/>
      <c r="CZ155" s="628"/>
      <c r="DA155" s="628"/>
      <c r="DB155" s="628"/>
      <c r="DC155" s="628"/>
      <c r="DD155" s="628"/>
      <c r="DE155" s="628"/>
      <c r="DF155" s="628"/>
      <c r="DG155" s="628"/>
      <c r="DH155" s="628"/>
      <c r="DI155" s="628"/>
      <c r="DJ155" s="628"/>
      <c r="DK155" s="628"/>
      <c r="DL155" s="628"/>
      <c r="DM155" s="628"/>
      <c r="DN155" s="628"/>
      <c r="DO155" s="628"/>
      <c r="DP155" s="628"/>
      <c r="DQ155" s="628"/>
      <c r="DR155" s="628"/>
      <c r="DS155" s="629"/>
      <c r="DT155" s="189"/>
      <c r="DX155" s="190"/>
    </row>
    <row r="156" spans="8:128" s="7" customFormat="1" ht="15" customHeight="1">
      <c r="H156" s="301"/>
      <c r="I156" s="301"/>
      <c r="J156" s="301"/>
      <c r="M156" s="184"/>
      <c r="N156" s="8"/>
      <c r="O156" s="8"/>
      <c r="P156" s="8"/>
      <c r="Q156" s="302"/>
      <c r="R156" s="302"/>
      <c r="S156" s="302"/>
      <c r="T156" s="302"/>
      <c r="U156" s="302"/>
      <c r="V156" s="302"/>
      <c r="W156" s="302"/>
      <c r="X156" s="302"/>
      <c r="Y156" s="302"/>
      <c r="Z156" s="302"/>
      <c r="AA156" s="302"/>
      <c r="AB156" s="302"/>
      <c r="AC156" s="302"/>
      <c r="AD156" s="302"/>
      <c r="AE156" s="302"/>
      <c r="AF156" s="302"/>
      <c r="AG156" s="302"/>
      <c r="AH156" s="302"/>
      <c r="AI156" s="302"/>
      <c r="AJ156" s="302"/>
      <c r="AK156" s="302"/>
      <c r="AL156" s="302"/>
      <c r="AM156" s="302"/>
      <c r="AN156" s="302"/>
      <c r="AO156" s="302"/>
      <c r="AP156" s="302"/>
      <c r="AQ156" s="302"/>
      <c r="AR156" s="302"/>
      <c r="AS156" s="302"/>
      <c r="AT156" s="302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CL156" s="185"/>
      <c r="CM156" s="8"/>
      <c r="CN156" s="627"/>
      <c r="CO156" s="627"/>
      <c r="CP156" s="270"/>
      <c r="CQ156" s="303"/>
      <c r="CR156" s="555" t="s">
        <v>73</v>
      </c>
      <c r="CS156" s="556"/>
      <c r="CT156" s="556"/>
      <c r="CU156" s="556"/>
      <c r="CV156" s="556"/>
      <c r="CW156" s="556"/>
      <c r="CX156" s="556"/>
      <c r="CY156" s="620"/>
      <c r="CZ156" s="620"/>
      <c r="DA156" s="620"/>
      <c r="DB156" s="621"/>
      <c r="DC156" s="304"/>
      <c r="DD156" s="607" t="s">
        <v>74</v>
      </c>
      <c r="DE156" s="607"/>
      <c r="DF156" s="607"/>
      <c r="DG156" s="607"/>
      <c r="DH156" s="305"/>
      <c r="DI156" s="622" t="s">
        <v>75</v>
      </c>
      <c r="DJ156" s="622"/>
      <c r="DK156" s="622"/>
      <c r="DL156" s="622"/>
      <c r="DM156" s="622"/>
      <c r="DN156" s="622"/>
      <c r="DO156" s="622"/>
      <c r="DP156" s="622"/>
      <c r="DQ156" s="622"/>
      <c r="DR156" s="622"/>
      <c r="DS156" s="622"/>
      <c r="DT156" s="189"/>
      <c r="DX156" s="190"/>
    </row>
    <row r="157" spans="8:128" s="301" customFormat="1" ht="68.25" thickBot="1">
      <c r="H157" s="7"/>
      <c r="I157" s="7"/>
      <c r="J157" s="7"/>
      <c r="M157" s="306"/>
      <c r="N157" s="302"/>
      <c r="O157" s="302"/>
      <c r="P157" s="302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302"/>
      <c r="AV157" s="302"/>
      <c r="AW157" s="302"/>
      <c r="AX157" s="302"/>
      <c r="AY157" s="302"/>
      <c r="AZ157" s="302"/>
      <c r="BA157" s="302"/>
      <c r="BB157" s="302"/>
      <c r="BC157" s="302"/>
      <c r="BD157" s="302"/>
      <c r="BE157" s="302"/>
      <c r="BF157" s="302"/>
      <c r="BG157" s="302"/>
      <c r="BH157" s="302"/>
      <c r="BI157" s="302"/>
      <c r="BJ157" s="302"/>
      <c r="BK157" s="302"/>
      <c r="CL157" s="307"/>
      <c r="CM157" s="302"/>
      <c r="CN157" s="627"/>
      <c r="CO157" s="627"/>
      <c r="CP157" s="270"/>
      <c r="CQ157" s="193"/>
      <c r="CR157" s="608" t="s">
        <v>7</v>
      </c>
      <c r="CS157" s="608"/>
      <c r="CT157" s="608"/>
      <c r="CU157" s="608"/>
      <c r="CV157" s="608" t="s">
        <v>6</v>
      </c>
      <c r="CW157" s="608"/>
      <c r="CX157" s="608"/>
      <c r="CY157" s="608" t="s">
        <v>9</v>
      </c>
      <c r="CZ157" s="608"/>
      <c r="DA157" s="608"/>
      <c r="DB157" s="608"/>
      <c r="DC157" s="309"/>
      <c r="DD157" s="308" t="s">
        <v>11</v>
      </c>
      <c r="DE157" s="308" t="s">
        <v>12</v>
      </c>
      <c r="DF157" s="308" t="s">
        <v>13</v>
      </c>
      <c r="DG157" s="308" t="s">
        <v>8</v>
      </c>
      <c r="DH157" s="309"/>
      <c r="DI157" s="608" t="s">
        <v>7</v>
      </c>
      <c r="DJ157" s="608"/>
      <c r="DK157" s="608"/>
      <c r="DL157" s="608"/>
      <c r="DM157" s="608"/>
      <c r="DN157" s="608"/>
      <c r="DO157" s="608" t="s">
        <v>6</v>
      </c>
      <c r="DP157" s="608"/>
      <c r="DQ157" s="608"/>
      <c r="DR157" s="608"/>
      <c r="DS157" s="308" t="s">
        <v>8</v>
      </c>
      <c r="DT157" s="310"/>
      <c r="DX157" s="311"/>
    </row>
    <row r="158" spans="1:128" s="7" customFormat="1" ht="212.25" customHeight="1" thickBot="1">
      <c r="A158" s="156"/>
      <c r="B158" s="156"/>
      <c r="C158" s="156"/>
      <c r="D158" s="156"/>
      <c r="E158" s="156"/>
      <c r="F158" s="156"/>
      <c r="G158" s="156"/>
      <c r="H158" s="156"/>
      <c r="I158" s="156"/>
      <c r="M158" s="184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CL158" s="185"/>
      <c r="CM158" s="8"/>
      <c r="CN158" s="627"/>
      <c r="CO158" s="627"/>
      <c r="CP158" s="270"/>
      <c r="CQ158" s="208"/>
      <c r="CR158" s="209" t="s">
        <v>43</v>
      </c>
      <c r="CS158" s="210" t="s">
        <v>44</v>
      </c>
      <c r="CT158" s="210" t="s">
        <v>45</v>
      </c>
      <c r="CU158" s="211" t="s">
        <v>46</v>
      </c>
      <c r="CV158" s="212" t="s">
        <v>47</v>
      </c>
      <c r="CW158" s="213" t="s">
        <v>48</v>
      </c>
      <c r="CX158" s="214" t="s">
        <v>49</v>
      </c>
      <c r="CY158" s="215" t="s">
        <v>50</v>
      </c>
      <c r="CZ158" s="216" t="s">
        <v>51</v>
      </c>
      <c r="DA158" s="216" t="s">
        <v>52</v>
      </c>
      <c r="DB158" s="217" t="s">
        <v>169</v>
      </c>
      <c r="DC158" s="218" t="s">
        <v>199</v>
      </c>
      <c r="DD158" s="209" t="s">
        <v>53</v>
      </c>
      <c r="DE158" s="210" t="s">
        <v>54</v>
      </c>
      <c r="DF158" s="210" t="s">
        <v>55</v>
      </c>
      <c r="DG158" s="219" t="s">
        <v>56</v>
      </c>
      <c r="DH158" s="220" t="s">
        <v>200</v>
      </c>
      <c r="DI158" s="221" t="s">
        <v>57</v>
      </c>
      <c r="DJ158" s="222" t="s">
        <v>58</v>
      </c>
      <c r="DK158" s="222" t="s">
        <v>59</v>
      </c>
      <c r="DL158" s="222" t="s">
        <v>60</v>
      </c>
      <c r="DM158" s="222" t="s">
        <v>61</v>
      </c>
      <c r="DN158" s="223" t="s">
        <v>62</v>
      </c>
      <c r="DO158" s="221" t="s">
        <v>63</v>
      </c>
      <c r="DP158" s="222" t="s">
        <v>64</v>
      </c>
      <c r="DQ158" s="222" t="s">
        <v>65</v>
      </c>
      <c r="DR158" s="223" t="s">
        <v>66</v>
      </c>
      <c r="DS158" s="224" t="s">
        <v>67</v>
      </c>
      <c r="DT158" s="225" t="s">
        <v>198</v>
      </c>
      <c r="DX158" s="190"/>
    </row>
    <row r="159" spans="1:128" s="313" customFormat="1" ht="21" customHeight="1" thickBot="1">
      <c r="A159" s="156"/>
      <c r="B159" s="156"/>
      <c r="C159" s="156"/>
      <c r="D159" s="156"/>
      <c r="E159" s="156"/>
      <c r="F159" s="156"/>
      <c r="G159" s="156"/>
      <c r="H159" s="10"/>
      <c r="I159" s="10"/>
      <c r="J159" s="312"/>
      <c r="M159" s="314"/>
      <c r="N159" s="315"/>
      <c r="O159" s="315"/>
      <c r="P159" s="315"/>
      <c r="Q159" s="227"/>
      <c r="R159" s="227"/>
      <c r="S159" s="227"/>
      <c r="T159" s="227"/>
      <c r="U159" s="227"/>
      <c r="V159" s="227"/>
      <c r="W159" s="227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157"/>
      <c r="AV159" s="315"/>
      <c r="AW159" s="315"/>
      <c r="AX159" s="315"/>
      <c r="AY159" s="315"/>
      <c r="AZ159" s="315"/>
      <c r="BA159" s="315"/>
      <c r="BB159" s="315"/>
      <c r="BC159" s="315"/>
      <c r="BD159" s="315"/>
      <c r="BE159" s="315"/>
      <c r="BF159" s="315"/>
      <c r="BG159" s="315"/>
      <c r="BH159" s="315"/>
      <c r="BI159" s="315"/>
      <c r="BJ159" s="315"/>
      <c r="BK159" s="315"/>
      <c r="CL159" s="316"/>
      <c r="CM159" s="315"/>
      <c r="CN159" s="317"/>
      <c r="CO159" s="318"/>
      <c r="CP159" s="232" t="s">
        <v>28</v>
      </c>
      <c r="CQ159" s="233"/>
      <c r="CR159" s="234"/>
      <c r="CS159" s="235"/>
      <c r="CT159" s="235"/>
      <c r="CU159" s="234"/>
      <c r="CV159" s="236"/>
      <c r="CW159" s="234"/>
      <c r="CX159" s="235"/>
      <c r="CY159" s="235"/>
      <c r="CZ159" s="234"/>
      <c r="DA159" s="236"/>
      <c r="DB159" s="237"/>
      <c r="DC159" s="238"/>
      <c r="DD159" s="234"/>
      <c r="DE159" s="234"/>
      <c r="DF159" s="236"/>
      <c r="DG159" s="234"/>
      <c r="DH159" s="237"/>
      <c r="DI159" s="239"/>
      <c r="DJ159" s="240"/>
      <c r="DK159" s="240"/>
      <c r="DL159" s="241"/>
      <c r="DM159" s="240"/>
      <c r="DN159" s="240"/>
      <c r="DO159" s="241"/>
      <c r="DP159" s="240"/>
      <c r="DQ159" s="240"/>
      <c r="DR159" s="241"/>
      <c r="DS159" s="240"/>
      <c r="DT159" s="237"/>
      <c r="DX159" s="319"/>
    </row>
    <row r="160" spans="1:126" ht="42.75" customHeight="1" thickBot="1">
      <c r="A160" s="10"/>
      <c r="B160" s="10"/>
      <c r="C160" s="10"/>
      <c r="D160" s="10"/>
      <c r="E160" s="10"/>
      <c r="F160" s="10"/>
      <c r="G160" s="10"/>
      <c r="H160" s="10"/>
      <c r="I160" s="10"/>
      <c r="Q160" s="611" t="s">
        <v>68</v>
      </c>
      <c r="R160" s="31">
        <f aca="true" t="shared" si="51" ref="R160:R173">IF(AND(O37="х",$E$22="х"),CR160,0)</f>
        <v>0</v>
      </c>
      <c r="S160" s="31">
        <f aca="true" t="shared" si="52" ref="S160:S173">IF(AND(O37="х",$E$23="х"),CS160,0)</f>
        <v>0</v>
      </c>
      <c r="T160" s="31">
        <f aca="true" t="shared" si="53" ref="T160:T173">IF(AND(O37="х",$E$24="х"),CT160,0)</f>
        <v>0</v>
      </c>
      <c r="U160" s="31">
        <f aca="true" t="shared" si="54" ref="U160:U173">IF(AND(O37="х",$E$25="х"),CU160,0)</f>
        <v>0</v>
      </c>
      <c r="V160" s="31">
        <f aca="true" t="shared" si="55" ref="V160:V173">IF(AND(O37="х",$E$26="х"),CV160,0)</f>
        <v>0</v>
      </c>
      <c r="W160" s="31">
        <f aca="true" t="shared" si="56" ref="W160:W173">IF(AND(O37="х",$E$27="х"),CW160,0)</f>
        <v>0</v>
      </c>
      <c r="X160" s="31">
        <f aca="true" t="shared" si="57" ref="X160:X173">IF(AND(O37="х",$E$28="х"),CX160,0)</f>
        <v>0</v>
      </c>
      <c r="Y160" s="31">
        <f aca="true" t="shared" si="58" ref="Y160:Y173">IF(AND(O37="х",$E$29="х"),CY160,0)</f>
        <v>0</v>
      </c>
      <c r="Z160" s="31">
        <f aca="true" t="shared" si="59" ref="Z160:Z173">IF(AND(O37="х",$E$30="х"),CZ160,0)</f>
        <v>0</v>
      </c>
      <c r="AA160" s="31">
        <f aca="true" t="shared" si="60" ref="AA160:AA173">IF(AND(O37="х",$E$31="х"),DA160,0)</f>
        <v>0</v>
      </c>
      <c r="AB160" s="31">
        <f aca="true" t="shared" si="61" ref="AB160:AB173">IF(AND(O37="х",$E$32="х"),DB160,0)</f>
        <v>0</v>
      </c>
      <c r="AC160" s="31">
        <f aca="true" t="shared" si="62" ref="AC160:AC173">IF(AND(O37="х",$E$33="х"),DC160,0)</f>
        <v>0</v>
      </c>
      <c r="AD160" s="31">
        <f aca="true" t="shared" si="63" ref="AD160:AD173">IF(AND(O37="х",$E$34="х"),DD160,0)</f>
        <v>0</v>
      </c>
      <c r="AE160" s="31">
        <f aca="true" t="shared" si="64" ref="AE160:AE173">IF(AND(O37="х",$E$35="х"),DE160,0)</f>
        <v>0</v>
      </c>
      <c r="AF160" s="31">
        <f aca="true" t="shared" si="65" ref="AF160:AF173">IF(AND(O37="х",$E$36="х"),DF160,0)</f>
        <v>0</v>
      </c>
      <c r="AG160" s="31">
        <f aca="true" t="shared" si="66" ref="AG160:AG173">IF(AND(O37="х",$E$37="х"),DG160,0)</f>
        <v>0</v>
      </c>
      <c r="AH160" s="31">
        <f aca="true" t="shared" si="67" ref="AH160:AH173">IF(AND(O37="х",$E$38="х"),DH160,0)</f>
        <v>0</v>
      </c>
      <c r="AI160" s="31">
        <f aca="true" t="shared" si="68" ref="AI160:AI173">IF(AND(O37="х",$E$39="х"),DI160,0)</f>
        <v>0</v>
      </c>
      <c r="AJ160" s="31">
        <f aca="true" t="shared" si="69" ref="AJ160:AJ173">IF(AND(O37="х",$E$40="х"),DJ160,0)</f>
        <v>0</v>
      </c>
      <c r="AK160" s="31">
        <f aca="true" t="shared" si="70" ref="AK160:AK173">IF(AND(O37="х",$E$41="х"),DK160,0)</f>
        <v>0</v>
      </c>
      <c r="AL160" s="31">
        <f aca="true" t="shared" si="71" ref="AL160:AL173">IF(AND(O37="х",$E$42="х"),DL160,0)</f>
        <v>0</v>
      </c>
      <c r="AM160" s="31">
        <f aca="true" t="shared" si="72" ref="AM160:AM173">IF(AND(O37="х",$E$43="х"),DM160,0)</f>
        <v>0</v>
      </c>
      <c r="AN160" s="31">
        <f aca="true" t="shared" si="73" ref="AN160:AN173">IF(AND(O37="х",$E$44="х"),DN160,0)</f>
        <v>0</v>
      </c>
      <c r="AO160" s="31">
        <f aca="true" t="shared" si="74" ref="AO160:AO173">IF(AND(O37="х",$E$45="х"),DO160,0)</f>
        <v>0</v>
      </c>
      <c r="AP160" s="31">
        <f aca="true" t="shared" si="75" ref="AP160:AP173">IF(AND(O37="х",$E$46="х"),DP160,0)</f>
        <v>0</v>
      </c>
      <c r="AQ160" s="31">
        <f aca="true" t="shared" si="76" ref="AQ160:AQ173">IF(AND(O37="х",$E$47="х"),DQ160,0)</f>
        <v>0</v>
      </c>
      <c r="AR160" s="31">
        <f aca="true" t="shared" si="77" ref="AR160:AR173">IF(AND(O37="х",$E$48="х"),DR160,0)</f>
        <v>0</v>
      </c>
      <c r="AS160" s="31">
        <f aca="true" t="shared" si="78" ref="AS160:AS173">IF(AND(O37="х",$E$49="х"),DS160,0)</f>
        <v>0</v>
      </c>
      <c r="AT160" s="31">
        <f aca="true" t="shared" si="79" ref="AT160:AT173">IF(AND(O37="х",$E$50="х"),DT160,0)</f>
        <v>0</v>
      </c>
      <c r="AU160" s="244">
        <f aca="true" t="shared" si="80" ref="AU160:AU165">IF(OR(R160="х",S160="х",T160="х",U160="х",V160="х",W160="х",X160="х",Y160="х",Z160="х",AA160="х",AB160="х",AC160="х",AD160="х",AE160="х",AF160="х",AG160="х",AH160="х",AI160="х",AJ160="х",AK160="х",AL160="х",AM160="х",AN160="х",AO160="х",AP160="х",AQ160="х",AR160="х",AS160="х",AT160="х"),0,MAXA(R160:AT160))</f>
        <v>0</v>
      </c>
      <c r="CN160" s="595" t="s">
        <v>68</v>
      </c>
      <c r="CO160" s="245" t="s">
        <v>29</v>
      </c>
      <c r="CP160" s="246"/>
      <c r="CQ160" s="247"/>
      <c r="CR160" s="320">
        <v>0.1</v>
      </c>
      <c r="CS160" s="205">
        <v>0.1</v>
      </c>
      <c r="CT160" s="205">
        <v>0.1</v>
      </c>
      <c r="CU160" s="205">
        <v>0.1</v>
      </c>
      <c r="CV160" s="205">
        <v>0.16</v>
      </c>
      <c r="CW160" s="205">
        <v>0.16</v>
      </c>
      <c r="CX160" s="205">
        <v>0.16</v>
      </c>
      <c r="CY160" s="254" t="s">
        <v>79</v>
      </c>
      <c r="CZ160" s="254" t="s">
        <v>79</v>
      </c>
      <c r="DA160" s="254" t="s">
        <v>79</v>
      </c>
      <c r="DB160" s="254" t="s">
        <v>79</v>
      </c>
      <c r="DC160" s="254" t="s">
        <v>79</v>
      </c>
      <c r="DD160" s="256">
        <v>0.065</v>
      </c>
      <c r="DE160" s="256">
        <v>0.08</v>
      </c>
      <c r="DF160" s="256">
        <v>0.13</v>
      </c>
      <c r="DG160" s="254" t="s">
        <v>79</v>
      </c>
      <c r="DH160" s="254" t="s">
        <v>79</v>
      </c>
      <c r="DI160" s="205">
        <v>0.065</v>
      </c>
      <c r="DJ160" s="205">
        <v>0.065</v>
      </c>
      <c r="DK160" s="205">
        <v>0.065</v>
      </c>
      <c r="DL160" s="205">
        <v>0.065</v>
      </c>
      <c r="DM160" s="205">
        <v>0.065</v>
      </c>
      <c r="DN160" s="205">
        <v>0.065</v>
      </c>
      <c r="DO160" s="251">
        <v>0.08</v>
      </c>
      <c r="DP160" s="205">
        <v>0.08</v>
      </c>
      <c r="DQ160" s="205">
        <v>0.08</v>
      </c>
      <c r="DR160" s="321">
        <v>0.08</v>
      </c>
      <c r="DS160" s="254" t="s">
        <v>79</v>
      </c>
      <c r="DT160" s="254" t="s">
        <v>79</v>
      </c>
      <c r="DV160" s="258"/>
    </row>
    <row r="161" spans="17:126" ht="30.75" customHeight="1" thickBot="1">
      <c r="Q161" s="612"/>
      <c r="R161" s="31">
        <f t="shared" si="51"/>
        <v>0</v>
      </c>
      <c r="S161" s="31">
        <f t="shared" si="52"/>
        <v>0</v>
      </c>
      <c r="T161" s="31">
        <f t="shared" si="53"/>
        <v>0</v>
      </c>
      <c r="U161" s="31">
        <f t="shared" si="54"/>
        <v>0</v>
      </c>
      <c r="V161" s="31">
        <f t="shared" si="55"/>
        <v>0</v>
      </c>
      <c r="W161" s="31">
        <f t="shared" si="56"/>
        <v>0</v>
      </c>
      <c r="X161" s="31">
        <f t="shared" si="57"/>
        <v>0</v>
      </c>
      <c r="Y161" s="31">
        <f t="shared" si="58"/>
        <v>0</v>
      </c>
      <c r="Z161" s="31">
        <f t="shared" si="59"/>
        <v>0</v>
      </c>
      <c r="AA161" s="31">
        <f t="shared" si="60"/>
        <v>0</v>
      </c>
      <c r="AB161" s="31">
        <f t="shared" si="61"/>
        <v>0</v>
      </c>
      <c r="AC161" s="31">
        <f t="shared" si="62"/>
        <v>0</v>
      </c>
      <c r="AD161" s="31">
        <f t="shared" si="63"/>
        <v>0</v>
      </c>
      <c r="AE161" s="31">
        <f t="shared" si="64"/>
        <v>0</v>
      </c>
      <c r="AF161" s="31">
        <f t="shared" si="65"/>
        <v>0</v>
      </c>
      <c r="AG161" s="31">
        <f t="shared" si="66"/>
        <v>0</v>
      </c>
      <c r="AH161" s="31">
        <f t="shared" si="67"/>
        <v>0</v>
      </c>
      <c r="AI161" s="31">
        <f t="shared" si="68"/>
        <v>0</v>
      </c>
      <c r="AJ161" s="31">
        <f t="shared" si="69"/>
        <v>0</v>
      </c>
      <c r="AK161" s="31">
        <f t="shared" si="70"/>
        <v>0</v>
      </c>
      <c r="AL161" s="31">
        <f t="shared" si="71"/>
        <v>0</v>
      </c>
      <c r="AM161" s="31">
        <f t="shared" si="72"/>
        <v>0</v>
      </c>
      <c r="AN161" s="31">
        <f t="shared" si="73"/>
        <v>0</v>
      </c>
      <c r="AO161" s="31">
        <f t="shared" si="74"/>
        <v>0</v>
      </c>
      <c r="AP161" s="31">
        <f t="shared" si="75"/>
        <v>0</v>
      </c>
      <c r="AQ161" s="31">
        <f t="shared" si="76"/>
        <v>0</v>
      </c>
      <c r="AR161" s="31">
        <f t="shared" si="77"/>
        <v>0</v>
      </c>
      <c r="AS161" s="31">
        <f t="shared" si="78"/>
        <v>0</v>
      </c>
      <c r="AT161" s="31">
        <f t="shared" si="79"/>
        <v>0</v>
      </c>
      <c r="AU161" s="244">
        <f t="shared" si="80"/>
        <v>0</v>
      </c>
      <c r="CN161" s="596"/>
      <c r="CO161" s="259" t="s">
        <v>30</v>
      </c>
      <c r="CP161" s="260"/>
      <c r="CQ161" s="261"/>
      <c r="CR161" s="322">
        <v>0.13</v>
      </c>
      <c r="CS161" s="285">
        <v>0.13</v>
      </c>
      <c r="CT161" s="285">
        <v>0.13</v>
      </c>
      <c r="CU161" s="285">
        <v>0.13</v>
      </c>
      <c r="CV161" s="285">
        <v>0.19</v>
      </c>
      <c r="CW161" s="285">
        <v>0.19</v>
      </c>
      <c r="CX161" s="285">
        <v>0.19</v>
      </c>
      <c r="CY161" s="268" t="s">
        <v>79</v>
      </c>
      <c r="CZ161" s="268" t="s">
        <v>79</v>
      </c>
      <c r="DA161" s="268" t="s">
        <v>79</v>
      </c>
      <c r="DB161" s="268" t="s">
        <v>79</v>
      </c>
      <c r="DC161" s="268" t="s">
        <v>79</v>
      </c>
      <c r="DD161" s="270">
        <v>0.112</v>
      </c>
      <c r="DE161" s="270">
        <v>0.136</v>
      </c>
      <c r="DF161" s="270">
        <v>0.19</v>
      </c>
      <c r="DG161" s="268" t="s">
        <v>79</v>
      </c>
      <c r="DH161" s="268" t="s">
        <v>79</v>
      </c>
      <c r="DI161" s="323">
        <v>0.12375</v>
      </c>
      <c r="DJ161" s="323">
        <v>0.12375</v>
      </c>
      <c r="DK161" s="323">
        <v>0.12375</v>
      </c>
      <c r="DL161" s="323">
        <v>0.12375</v>
      </c>
      <c r="DM161" s="323">
        <v>0.12375</v>
      </c>
      <c r="DN161" s="323">
        <v>0.12375</v>
      </c>
      <c r="DO161" s="265">
        <v>0.15</v>
      </c>
      <c r="DP161" s="285">
        <v>0.15</v>
      </c>
      <c r="DQ161" s="285">
        <v>0.15</v>
      </c>
      <c r="DR161" s="284">
        <v>0.15</v>
      </c>
      <c r="DS161" s="268" t="s">
        <v>79</v>
      </c>
      <c r="DT161" s="268" t="s">
        <v>79</v>
      </c>
      <c r="DV161" s="274"/>
    </row>
    <row r="162" spans="17:126" ht="34.5" customHeight="1" thickBot="1">
      <c r="Q162" s="612"/>
      <c r="R162" s="31">
        <f t="shared" si="51"/>
        <v>0</v>
      </c>
      <c r="S162" s="31">
        <f t="shared" si="52"/>
        <v>0</v>
      </c>
      <c r="T162" s="31">
        <f t="shared" si="53"/>
        <v>0</v>
      </c>
      <c r="U162" s="31">
        <f t="shared" si="54"/>
        <v>0</v>
      </c>
      <c r="V162" s="31">
        <f t="shared" si="55"/>
        <v>0</v>
      </c>
      <c r="W162" s="31">
        <f t="shared" si="56"/>
        <v>0</v>
      </c>
      <c r="X162" s="31">
        <f t="shared" si="57"/>
        <v>0</v>
      </c>
      <c r="Y162" s="31">
        <f t="shared" si="58"/>
        <v>0</v>
      </c>
      <c r="Z162" s="31">
        <f t="shared" si="59"/>
        <v>0</v>
      </c>
      <c r="AA162" s="31">
        <f t="shared" si="60"/>
        <v>0</v>
      </c>
      <c r="AB162" s="31">
        <f t="shared" si="61"/>
        <v>0</v>
      </c>
      <c r="AC162" s="31">
        <f t="shared" si="62"/>
        <v>0</v>
      </c>
      <c r="AD162" s="31">
        <f t="shared" si="63"/>
        <v>0</v>
      </c>
      <c r="AE162" s="31">
        <f t="shared" si="64"/>
        <v>0</v>
      </c>
      <c r="AF162" s="31">
        <f t="shared" si="65"/>
        <v>0</v>
      </c>
      <c r="AG162" s="31">
        <f t="shared" si="66"/>
        <v>0</v>
      </c>
      <c r="AH162" s="31">
        <f t="shared" si="67"/>
        <v>0</v>
      </c>
      <c r="AI162" s="31">
        <f t="shared" si="68"/>
        <v>0</v>
      </c>
      <c r="AJ162" s="31">
        <f t="shared" si="69"/>
        <v>0</v>
      </c>
      <c r="AK162" s="31">
        <f t="shared" si="70"/>
        <v>0</v>
      </c>
      <c r="AL162" s="31">
        <f t="shared" si="71"/>
        <v>0</v>
      </c>
      <c r="AM162" s="31">
        <f t="shared" si="72"/>
        <v>0</v>
      </c>
      <c r="AN162" s="31">
        <f t="shared" si="73"/>
        <v>0</v>
      </c>
      <c r="AO162" s="31">
        <f t="shared" si="74"/>
        <v>0</v>
      </c>
      <c r="AP162" s="31">
        <f t="shared" si="75"/>
        <v>0</v>
      </c>
      <c r="AQ162" s="31">
        <f t="shared" si="76"/>
        <v>0</v>
      </c>
      <c r="AR162" s="31">
        <f t="shared" si="77"/>
        <v>0</v>
      </c>
      <c r="AS162" s="31">
        <f t="shared" si="78"/>
        <v>0</v>
      </c>
      <c r="AT162" s="31">
        <f t="shared" si="79"/>
        <v>0</v>
      </c>
      <c r="AU162" s="244">
        <f t="shared" si="80"/>
        <v>0</v>
      </c>
      <c r="CN162" s="596"/>
      <c r="CO162" s="259" t="s">
        <v>31</v>
      </c>
      <c r="CP162" s="260"/>
      <c r="CQ162" s="261"/>
      <c r="CR162" s="322">
        <v>0.3</v>
      </c>
      <c r="CS162" s="285">
        <v>0.3</v>
      </c>
      <c r="CT162" s="285">
        <v>0.3</v>
      </c>
      <c r="CU162" s="285">
        <v>0.3</v>
      </c>
      <c r="CV162" s="285">
        <v>0.36</v>
      </c>
      <c r="CW162" s="285">
        <v>0.36</v>
      </c>
      <c r="CX162" s="285">
        <v>0.36</v>
      </c>
      <c r="CY162" s="268" t="s">
        <v>79</v>
      </c>
      <c r="CZ162" s="268" t="s">
        <v>79</v>
      </c>
      <c r="DA162" s="268" t="s">
        <v>79</v>
      </c>
      <c r="DB162" s="268" t="s">
        <v>79</v>
      </c>
      <c r="DC162" s="268" t="s">
        <v>79</v>
      </c>
      <c r="DD162" s="270">
        <v>0.3</v>
      </c>
      <c r="DE162" s="270">
        <v>0.36</v>
      </c>
      <c r="DF162" s="270">
        <v>0.42</v>
      </c>
      <c r="DG162" s="268" t="s">
        <v>79</v>
      </c>
      <c r="DH162" s="268" t="s">
        <v>79</v>
      </c>
      <c r="DI162" s="285">
        <v>0.3</v>
      </c>
      <c r="DJ162" s="285">
        <v>0.3</v>
      </c>
      <c r="DK162" s="285">
        <v>0.3</v>
      </c>
      <c r="DL162" s="285">
        <v>0.3</v>
      </c>
      <c r="DM162" s="285">
        <v>0.3</v>
      </c>
      <c r="DN162" s="285">
        <v>0.3</v>
      </c>
      <c r="DO162" s="265">
        <v>0.36</v>
      </c>
      <c r="DP162" s="285">
        <v>0.36</v>
      </c>
      <c r="DQ162" s="285">
        <v>0.36</v>
      </c>
      <c r="DR162" s="284">
        <v>0.36</v>
      </c>
      <c r="DS162" s="268" t="s">
        <v>79</v>
      </c>
      <c r="DT162" s="268" t="s">
        <v>79</v>
      </c>
      <c r="DV162" s="274"/>
    </row>
    <row r="163" spans="17:126" ht="30" customHeight="1" thickBot="1">
      <c r="Q163" s="612"/>
      <c r="R163" s="31">
        <f t="shared" si="51"/>
        <v>0</v>
      </c>
      <c r="S163" s="31">
        <f t="shared" si="52"/>
        <v>0</v>
      </c>
      <c r="T163" s="31">
        <f t="shared" si="53"/>
        <v>0</v>
      </c>
      <c r="U163" s="31">
        <f t="shared" si="54"/>
        <v>0</v>
      </c>
      <c r="V163" s="31">
        <f t="shared" si="55"/>
        <v>0</v>
      </c>
      <c r="W163" s="31">
        <f t="shared" si="56"/>
        <v>0</v>
      </c>
      <c r="X163" s="31">
        <f t="shared" si="57"/>
        <v>0</v>
      </c>
      <c r="Y163" s="31">
        <f t="shared" si="58"/>
        <v>0</v>
      </c>
      <c r="Z163" s="31">
        <f t="shared" si="59"/>
        <v>0</v>
      </c>
      <c r="AA163" s="31">
        <f t="shared" si="60"/>
        <v>0</v>
      </c>
      <c r="AB163" s="31">
        <f t="shared" si="61"/>
        <v>0</v>
      </c>
      <c r="AC163" s="31">
        <f t="shared" si="62"/>
        <v>0</v>
      </c>
      <c r="AD163" s="31">
        <f t="shared" si="63"/>
        <v>0</v>
      </c>
      <c r="AE163" s="31">
        <f t="shared" si="64"/>
        <v>0</v>
      </c>
      <c r="AF163" s="31">
        <f t="shared" si="65"/>
        <v>0</v>
      </c>
      <c r="AG163" s="31">
        <f t="shared" si="66"/>
        <v>0</v>
      </c>
      <c r="AH163" s="31">
        <f t="shared" si="67"/>
        <v>0</v>
      </c>
      <c r="AI163" s="31">
        <f t="shared" si="68"/>
        <v>0</v>
      </c>
      <c r="AJ163" s="31">
        <f t="shared" si="69"/>
        <v>0</v>
      </c>
      <c r="AK163" s="31">
        <f t="shared" si="70"/>
        <v>0</v>
      </c>
      <c r="AL163" s="31">
        <f t="shared" si="71"/>
        <v>0</v>
      </c>
      <c r="AM163" s="31">
        <f t="shared" si="72"/>
        <v>0</v>
      </c>
      <c r="AN163" s="31">
        <f t="shared" si="73"/>
        <v>0</v>
      </c>
      <c r="AO163" s="31">
        <f t="shared" si="74"/>
        <v>0</v>
      </c>
      <c r="AP163" s="31">
        <f t="shared" si="75"/>
        <v>0</v>
      </c>
      <c r="AQ163" s="31">
        <f t="shared" si="76"/>
        <v>0</v>
      </c>
      <c r="AR163" s="31">
        <f t="shared" si="77"/>
        <v>0</v>
      </c>
      <c r="AS163" s="31">
        <f t="shared" si="78"/>
        <v>0</v>
      </c>
      <c r="AT163" s="31">
        <f t="shared" si="79"/>
        <v>0</v>
      </c>
      <c r="AU163" s="244">
        <f t="shared" si="80"/>
        <v>0</v>
      </c>
      <c r="CN163" s="596"/>
      <c r="CO163" s="259" t="s">
        <v>32</v>
      </c>
      <c r="CP163" s="276"/>
      <c r="CQ163" s="261"/>
      <c r="CR163" s="322">
        <v>2</v>
      </c>
      <c r="CS163" s="285">
        <v>2</v>
      </c>
      <c r="CT163" s="285">
        <v>2</v>
      </c>
      <c r="CU163" s="285">
        <v>2</v>
      </c>
      <c r="CV163" s="285">
        <v>2</v>
      </c>
      <c r="CW163" s="285">
        <v>2</v>
      </c>
      <c r="CX163" s="285">
        <v>2</v>
      </c>
      <c r="CY163" s="268" t="s">
        <v>79</v>
      </c>
      <c r="CZ163" s="268" t="s">
        <v>79</v>
      </c>
      <c r="DA163" s="268" t="s">
        <v>79</v>
      </c>
      <c r="DB163" s="268" t="s">
        <v>79</v>
      </c>
      <c r="DC163" s="268" t="s">
        <v>79</v>
      </c>
      <c r="DD163" s="270">
        <v>2</v>
      </c>
      <c r="DE163" s="270">
        <v>2</v>
      </c>
      <c r="DF163" s="270">
        <v>2</v>
      </c>
      <c r="DG163" s="268" t="s">
        <v>79</v>
      </c>
      <c r="DH163" s="268" t="s">
        <v>79</v>
      </c>
      <c r="DI163" s="285">
        <v>2</v>
      </c>
      <c r="DJ163" s="285">
        <v>2</v>
      </c>
      <c r="DK163" s="285">
        <v>2</v>
      </c>
      <c r="DL163" s="285">
        <v>2</v>
      </c>
      <c r="DM163" s="285">
        <v>2</v>
      </c>
      <c r="DN163" s="285">
        <v>2</v>
      </c>
      <c r="DO163" s="265">
        <v>2</v>
      </c>
      <c r="DP163" s="285">
        <v>2</v>
      </c>
      <c r="DQ163" s="285">
        <v>2</v>
      </c>
      <c r="DR163" s="284">
        <v>2</v>
      </c>
      <c r="DS163" s="268" t="s">
        <v>79</v>
      </c>
      <c r="DT163" s="268" t="s">
        <v>79</v>
      </c>
      <c r="DV163" s="274"/>
    </row>
    <row r="164" spans="17:126" ht="15.75" customHeight="1" thickBot="1">
      <c r="Q164" s="612"/>
      <c r="R164" s="31">
        <f t="shared" si="51"/>
        <v>0</v>
      </c>
      <c r="S164" s="31">
        <f t="shared" si="52"/>
        <v>0</v>
      </c>
      <c r="T164" s="31">
        <f t="shared" si="53"/>
        <v>0</v>
      </c>
      <c r="U164" s="31">
        <f t="shared" si="54"/>
        <v>0</v>
      </c>
      <c r="V164" s="31">
        <f t="shared" si="55"/>
        <v>0</v>
      </c>
      <c r="W164" s="31">
        <f t="shared" si="56"/>
        <v>0</v>
      </c>
      <c r="X164" s="31">
        <f t="shared" si="57"/>
        <v>0</v>
      </c>
      <c r="Y164" s="31">
        <f t="shared" si="58"/>
        <v>0</v>
      </c>
      <c r="Z164" s="31">
        <f t="shared" si="59"/>
        <v>0</v>
      </c>
      <c r="AA164" s="31">
        <f t="shared" si="60"/>
        <v>0</v>
      </c>
      <c r="AB164" s="31">
        <f t="shared" si="61"/>
        <v>0</v>
      </c>
      <c r="AC164" s="31">
        <f t="shared" si="62"/>
        <v>0</v>
      </c>
      <c r="AD164" s="31">
        <f t="shared" si="63"/>
        <v>0</v>
      </c>
      <c r="AE164" s="31">
        <f t="shared" si="64"/>
        <v>0</v>
      </c>
      <c r="AF164" s="31">
        <f t="shared" si="65"/>
        <v>0</v>
      </c>
      <c r="AG164" s="31">
        <f t="shared" si="66"/>
        <v>0</v>
      </c>
      <c r="AH164" s="31">
        <f t="shared" si="67"/>
        <v>0</v>
      </c>
      <c r="AI164" s="31">
        <f t="shared" si="68"/>
        <v>0</v>
      </c>
      <c r="AJ164" s="31">
        <f t="shared" si="69"/>
        <v>0</v>
      </c>
      <c r="AK164" s="31">
        <f t="shared" si="70"/>
        <v>0</v>
      </c>
      <c r="AL164" s="31">
        <f t="shared" si="71"/>
        <v>0</v>
      </c>
      <c r="AM164" s="31">
        <f t="shared" si="72"/>
        <v>0</v>
      </c>
      <c r="AN164" s="31">
        <f t="shared" si="73"/>
        <v>0</v>
      </c>
      <c r="AO164" s="31">
        <f t="shared" si="74"/>
        <v>0</v>
      </c>
      <c r="AP164" s="31">
        <f t="shared" si="75"/>
        <v>0</v>
      </c>
      <c r="AQ164" s="31">
        <f t="shared" si="76"/>
        <v>0</v>
      </c>
      <c r="AR164" s="31">
        <f t="shared" si="77"/>
        <v>0</v>
      </c>
      <c r="AS164" s="31">
        <f t="shared" si="78"/>
        <v>0</v>
      </c>
      <c r="AT164" s="31">
        <f t="shared" si="79"/>
        <v>0</v>
      </c>
      <c r="AU164" s="244">
        <f t="shared" si="80"/>
        <v>0</v>
      </c>
      <c r="CN164" s="596"/>
      <c r="CO164" s="259" t="s">
        <v>33</v>
      </c>
      <c r="CP164" s="246"/>
      <c r="CQ164" s="261"/>
      <c r="CR164" s="322">
        <v>0.3</v>
      </c>
      <c r="CS164" s="285">
        <v>0.3</v>
      </c>
      <c r="CT164" s="285">
        <v>0.3</v>
      </c>
      <c r="CU164" s="285">
        <v>0.3</v>
      </c>
      <c r="CV164" s="285">
        <v>0.36</v>
      </c>
      <c r="CW164" s="285">
        <v>0.36</v>
      </c>
      <c r="CX164" s="285">
        <v>0.36</v>
      </c>
      <c r="CY164" s="268" t="s">
        <v>79</v>
      </c>
      <c r="CZ164" s="268" t="s">
        <v>79</v>
      </c>
      <c r="DA164" s="268" t="s">
        <v>79</v>
      </c>
      <c r="DB164" s="268" t="s">
        <v>79</v>
      </c>
      <c r="DC164" s="268" t="s">
        <v>79</v>
      </c>
      <c r="DD164" s="270">
        <v>0.3</v>
      </c>
      <c r="DE164" s="270">
        <v>0.36</v>
      </c>
      <c r="DF164" s="270">
        <v>0.42</v>
      </c>
      <c r="DG164" s="268" t="s">
        <v>79</v>
      </c>
      <c r="DH164" s="268" t="s">
        <v>79</v>
      </c>
      <c r="DI164" s="285">
        <v>0.3</v>
      </c>
      <c r="DJ164" s="285">
        <v>0.3</v>
      </c>
      <c r="DK164" s="285">
        <v>0.3</v>
      </c>
      <c r="DL164" s="285">
        <v>0.3</v>
      </c>
      <c r="DM164" s="285">
        <v>0.3</v>
      </c>
      <c r="DN164" s="285">
        <v>0.3</v>
      </c>
      <c r="DO164" s="265">
        <v>0.36</v>
      </c>
      <c r="DP164" s="285">
        <v>0.36</v>
      </c>
      <c r="DQ164" s="285">
        <v>0.36</v>
      </c>
      <c r="DR164" s="284">
        <v>0.36</v>
      </c>
      <c r="DS164" s="268" t="s">
        <v>79</v>
      </c>
      <c r="DT164" s="268" t="s">
        <v>79</v>
      </c>
      <c r="DV164" s="274"/>
    </row>
    <row r="165" spans="17:126" ht="16.5" customHeight="1" thickBot="1">
      <c r="Q165" s="613"/>
      <c r="R165" s="31">
        <f t="shared" si="51"/>
        <v>0</v>
      </c>
      <c r="S165" s="31">
        <f t="shared" si="52"/>
        <v>0</v>
      </c>
      <c r="T165" s="31">
        <f t="shared" si="53"/>
        <v>0</v>
      </c>
      <c r="U165" s="31">
        <f t="shared" si="54"/>
        <v>0</v>
      </c>
      <c r="V165" s="31">
        <f t="shared" si="55"/>
        <v>0</v>
      </c>
      <c r="W165" s="31">
        <f t="shared" si="56"/>
        <v>0</v>
      </c>
      <c r="X165" s="31">
        <f t="shared" si="57"/>
        <v>0</v>
      </c>
      <c r="Y165" s="31">
        <f t="shared" si="58"/>
        <v>0</v>
      </c>
      <c r="Z165" s="31">
        <f t="shared" si="59"/>
        <v>0</v>
      </c>
      <c r="AA165" s="31">
        <f t="shared" si="60"/>
        <v>0</v>
      </c>
      <c r="AB165" s="31">
        <f t="shared" si="61"/>
        <v>0</v>
      </c>
      <c r="AC165" s="31">
        <f t="shared" si="62"/>
        <v>0</v>
      </c>
      <c r="AD165" s="31">
        <f t="shared" si="63"/>
        <v>0</v>
      </c>
      <c r="AE165" s="31">
        <f t="shared" si="64"/>
        <v>0</v>
      </c>
      <c r="AF165" s="31">
        <f t="shared" si="65"/>
        <v>0</v>
      </c>
      <c r="AG165" s="31">
        <f t="shared" si="66"/>
        <v>0</v>
      </c>
      <c r="AH165" s="31">
        <f t="shared" si="67"/>
        <v>0</v>
      </c>
      <c r="AI165" s="31">
        <f t="shared" si="68"/>
        <v>0</v>
      </c>
      <c r="AJ165" s="31">
        <f t="shared" si="69"/>
        <v>0</v>
      </c>
      <c r="AK165" s="31">
        <f t="shared" si="70"/>
        <v>0</v>
      </c>
      <c r="AL165" s="31">
        <f t="shared" si="71"/>
        <v>0</v>
      </c>
      <c r="AM165" s="31">
        <f t="shared" si="72"/>
        <v>0</v>
      </c>
      <c r="AN165" s="31">
        <f t="shared" si="73"/>
        <v>0</v>
      </c>
      <c r="AO165" s="31">
        <f t="shared" si="74"/>
        <v>0</v>
      </c>
      <c r="AP165" s="31">
        <f t="shared" si="75"/>
        <v>0</v>
      </c>
      <c r="AQ165" s="31">
        <f t="shared" si="76"/>
        <v>0</v>
      </c>
      <c r="AR165" s="31">
        <f t="shared" si="77"/>
        <v>0</v>
      </c>
      <c r="AS165" s="31">
        <f t="shared" si="78"/>
        <v>0</v>
      </c>
      <c r="AT165" s="31">
        <f t="shared" si="79"/>
        <v>0</v>
      </c>
      <c r="AU165" s="244">
        <f t="shared" si="80"/>
        <v>0</v>
      </c>
      <c r="CN165" s="596"/>
      <c r="CO165" s="259" t="s">
        <v>34</v>
      </c>
      <c r="CP165" s="260"/>
      <c r="CQ165" s="261"/>
      <c r="CR165" s="322">
        <v>0.025</v>
      </c>
      <c r="CS165" s="285">
        <v>0.025</v>
      </c>
      <c r="CT165" s="285">
        <v>0.025</v>
      </c>
      <c r="CU165" s="285">
        <v>0.025</v>
      </c>
      <c r="CV165" s="285">
        <v>0.03</v>
      </c>
      <c r="CW165" s="285">
        <v>0.03</v>
      </c>
      <c r="CX165" s="285">
        <v>0.03</v>
      </c>
      <c r="CY165" s="268" t="s">
        <v>79</v>
      </c>
      <c r="CZ165" s="268" t="s">
        <v>79</v>
      </c>
      <c r="DA165" s="268" t="s">
        <v>79</v>
      </c>
      <c r="DB165" s="268" t="s">
        <v>79</v>
      </c>
      <c r="DC165" s="268" t="s">
        <v>79</v>
      </c>
      <c r="DD165" s="270">
        <v>0.025</v>
      </c>
      <c r="DE165" s="270">
        <v>0.025</v>
      </c>
      <c r="DF165" s="270">
        <v>0.03</v>
      </c>
      <c r="DG165" s="268" t="s">
        <v>79</v>
      </c>
      <c r="DH165" s="268" t="s">
        <v>79</v>
      </c>
      <c r="DI165" s="324">
        <v>0.025</v>
      </c>
      <c r="DJ165" s="324">
        <v>0.025</v>
      </c>
      <c r="DK165" s="324">
        <v>0.025</v>
      </c>
      <c r="DL165" s="324">
        <v>0.025</v>
      </c>
      <c r="DM165" s="324">
        <v>0.025</v>
      </c>
      <c r="DN165" s="324">
        <v>0.025</v>
      </c>
      <c r="DO165" s="325">
        <v>0.025</v>
      </c>
      <c r="DP165" s="324">
        <v>0.025</v>
      </c>
      <c r="DQ165" s="324">
        <v>0.025</v>
      </c>
      <c r="DR165" s="326">
        <v>0.025</v>
      </c>
      <c r="DS165" s="268" t="s">
        <v>79</v>
      </c>
      <c r="DT165" s="268" t="s">
        <v>79</v>
      </c>
      <c r="DV165" s="274"/>
    </row>
    <row r="166" spans="17:126" ht="34.5" customHeight="1" thickBot="1">
      <c r="Q166" s="612" t="s">
        <v>69</v>
      </c>
      <c r="R166" s="31">
        <f t="shared" si="51"/>
        <v>0</v>
      </c>
      <c r="S166" s="31">
        <f t="shared" si="52"/>
        <v>0</v>
      </c>
      <c r="T166" s="31">
        <f t="shared" si="53"/>
        <v>0</v>
      </c>
      <c r="U166" s="31">
        <f t="shared" si="54"/>
        <v>0</v>
      </c>
      <c r="V166" s="31">
        <f t="shared" si="55"/>
        <v>0</v>
      </c>
      <c r="W166" s="31">
        <f t="shared" si="56"/>
        <v>0</v>
      </c>
      <c r="X166" s="31">
        <f t="shared" si="57"/>
        <v>0</v>
      </c>
      <c r="Y166" s="31">
        <f t="shared" si="58"/>
        <v>0</v>
      </c>
      <c r="Z166" s="31">
        <f t="shared" si="59"/>
        <v>0</v>
      </c>
      <c r="AA166" s="31">
        <f t="shared" si="60"/>
        <v>0</v>
      </c>
      <c r="AB166" s="31">
        <f t="shared" si="61"/>
        <v>0</v>
      </c>
      <c r="AC166" s="31">
        <f t="shared" si="62"/>
        <v>0</v>
      </c>
      <c r="AD166" s="31">
        <f t="shared" si="63"/>
        <v>0</v>
      </c>
      <c r="AE166" s="31">
        <f t="shared" si="64"/>
        <v>0</v>
      </c>
      <c r="AF166" s="31">
        <f t="shared" si="65"/>
        <v>0</v>
      </c>
      <c r="AG166" s="31">
        <f t="shared" si="66"/>
        <v>0</v>
      </c>
      <c r="AH166" s="31">
        <f t="shared" si="67"/>
        <v>0</v>
      </c>
      <c r="AI166" s="31">
        <f t="shared" si="68"/>
        <v>0</v>
      </c>
      <c r="AJ166" s="31">
        <f t="shared" si="69"/>
        <v>0</v>
      </c>
      <c r="AK166" s="31">
        <f t="shared" si="70"/>
        <v>0</v>
      </c>
      <c r="AL166" s="31">
        <f t="shared" si="71"/>
        <v>0</v>
      </c>
      <c r="AM166" s="31">
        <f t="shared" si="72"/>
        <v>0</v>
      </c>
      <c r="AN166" s="31">
        <f t="shared" si="73"/>
        <v>0</v>
      </c>
      <c r="AO166" s="31">
        <f t="shared" si="74"/>
        <v>0</v>
      </c>
      <c r="AP166" s="31">
        <f t="shared" si="75"/>
        <v>0</v>
      </c>
      <c r="AQ166" s="31">
        <f t="shared" si="76"/>
        <v>0</v>
      </c>
      <c r="AR166" s="31">
        <f t="shared" si="77"/>
        <v>0</v>
      </c>
      <c r="AS166" s="31">
        <f t="shared" si="78"/>
        <v>0</v>
      </c>
      <c r="AT166" s="31">
        <f t="shared" si="79"/>
        <v>0</v>
      </c>
      <c r="AU166" s="244">
        <f aca="true" t="shared" si="81" ref="AU166:AU171">IF(OR(R166="х",S166="х",T166="х",U166="х",V166="х",W166="х",X166="х",Y166="х",Z166="х",AA166="х",AB166="х",AC166="х",AD166="х",AE166="х",AF166="х",AG166="х",AH166="х",AI166="х",AJ166="х",AK166="х",AL166="х",AM166="х",AN166="х",AO166="х",AP166="х",AQ166="х",AR166="х",AS166="х",AT166="х"),0,MAXA(R166:AT166))</f>
        <v>0</v>
      </c>
      <c r="CN166" s="595" t="s">
        <v>69</v>
      </c>
      <c r="CO166" s="277" t="s">
        <v>35</v>
      </c>
      <c r="CP166" s="246"/>
      <c r="CQ166" s="261"/>
      <c r="CR166" s="322">
        <v>0.32</v>
      </c>
      <c r="CS166" s="285">
        <v>0.32</v>
      </c>
      <c r="CT166" s="285">
        <v>0.32</v>
      </c>
      <c r="CU166" s="285">
        <v>0.32</v>
      </c>
      <c r="CV166" s="285">
        <v>0.33</v>
      </c>
      <c r="CW166" s="285">
        <v>0.33</v>
      </c>
      <c r="CX166" s="284">
        <v>0.33</v>
      </c>
      <c r="CY166" s="268" t="s">
        <v>79</v>
      </c>
      <c r="CZ166" s="268" t="s">
        <v>79</v>
      </c>
      <c r="DA166" s="268" t="s">
        <v>79</v>
      </c>
      <c r="DB166" s="268" t="s">
        <v>79</v>
      </c>
      <c r="DC166" s="268" t="s">
        <v>79</v>
      </c>
      <c r="DD166" s="256">
        <v>0.3</v>
      </c>
      <c r="DE166" s="256">
        <v>0.32</v>
      </c>
      <c r="DF166" s="256">
        <v>0.335</v>
      </c>
      <c r="DG166" s="268" t="s">
        <v>79</v>
      </c>
      <c r="DH166" s="268" t="s">
        <v>79</v>
      </c>
      <c r="DI166" s="285">
        <v>0.24</v>
      </c>
      <c r="DJ166" s="285">
        <v>0.24</v>
      </c>
      <c r="DK166" s="285">
        <v>0.24</v>
      </c>
      <c r="DL166" s="285">
        <v>0.24</v>
      </c>
      <c r="DM166" s="285">
        <v>0.24</v>
      </c>
      <c r="DN166" s="285">
        <v>0.24</v>
      </c>
      <c r="DO166" s="270">
        <v>0.3</v>
      </c>
      <c r="DP166" s="270">
        <v>0.3</v>
      </c>
      <c r="DQ166" s="270">
        <v>0.3</v>
      </c>
      <c r="DR166" s="270">
        <v>0.3</v>
      </c>
      <c r="DS166" s="268" t="s">
        <v>79</v>
      </c>
      <c r="DT166" s="268" t="s">
        <v>79</v>
      </c>
      <c r="DV166" s="274"/>
    </row>
    <row r="167" spans="17:126" ht="27" customHeight="1" thickBot="1">
      <c r="Q167" s="612"/>
      <c r="R167" s="31">
        <f t="shared" si="51"/>
        <v>0</v>
      </c>
      <c r="S167" s="31">
        <f t="shared" si="52"/>
        <v>0</v>
      </c>
      <c r="T167" s="31">
        <f t="shared" si="53"/>
        <v>0</v>
      </c>
      <c r="U167" s="31">
        <f t="shared" si="54"/>
        <v>0</v>
      </c>
      <c r="V167" s="31">
        <f t="shared" si="55"/>
        <v>0</v>
      </c>
      <c r="W167" s="31">
        <f t="shared" si="56"/>
        <v>0</v>
      </c>
      <c r="X167" s="31">
        <f t="shared" si="57"/>
        <v>0</v>
      </c>
      <c r="Y167" s="31">
        <f t="shared" si="58"/>
        <v>0</v>
      </c>
      <c r="Z167" s="31">
        <f t="shared" si="59"/>
        <v>0</v>
      </c>
      <c r="AA167" s="31">
        <f t="shared" si="60"/>
        <v>0</v>
      </c>
      <c r="AB167" s="31">
        <f t="shared" si="61"/>
        <v>0</v>
      </c>
      <c r="AC167" s="31">
        <f t="shared" si="62"/>
        <v>0</v>
      </c>
      <c r="AD167" s="31">
        <f t="shared" si="63"/>
        <v>0</v>
      </c>
      <c r="AE167" s="31">
        <f t="shared" si="64"/>
        <v>0</v>
      </c>
      <c r="AF167" s="31">
        <f t="shared" si="65"/>
        <v>0</v>
      </c>
      <c r="AG167" s="31">
        <f t="shared" si="66"/>
        <v>0</v>
      </c>
      <c r="AH167" s="31">
        <f t="shared" si="67"/>
        <v>0</v>
      </c>
      <c r="AI167" s="31">
        <f t="shared" si="68"/>
        <v>0</v>
      </c>
      <c r="AJ167" s="31">
        <f t="shared" si="69"/>
        <v>0</v>
      </c>
      <c r="AK167" s="31">
        <f t="shared" si="70"/>
        <v>0</v>
      </c>
      <c r="AL167" s="31">
        <f t="shared" si="71"/>
        <v>0</v>
      </c>
      <c r="AM167" s="31">
        <f t="shared" si="72"/>
        <v>0</v>
      </c>
      <c r="AN167" s="31">
        <f t="shared" si="73"/>
        <v>0</v>
      </c>
      <c r="AO167" s="31">
        <f t="shared" si="74"/>
        <v>0</v>
      </c>
      <c r="AP167" s="31">
        <f t="shared" si="75"/>
        <v>0</v>
      </c>
      <c r="AQ167" s="31">
        <f t="shared" si="76"/>
        <v>0</v>
      </c>
      <c r="AR167" s="31">
        <f t="shared" si="77"/>
        <v>0</v>
      </c>
      <c r="AS167" s="31">
        <f t="shared" si="78"/>
        <v>0</v>
      </c>
      <c r="AT167" s="31">
        <f t="shared" si="79"/>
        <v>0</v>
      </c>
      <c r="AU167" s="244">
        <f t="shared" si="81"/>
        <v>0</v>
      </c>
      <c r="CN167" s="596"/>
      <c r="CO167" s="259" t="s">
        <v>36</v>
      </c>
      <c r="CP167" s="260"/>
      <c r="CQ167" s="261"/>
      <c r="CR167" s="322">
        <v>0.42</v>
      </c>
      <c r="CS167" s="285">
        <v>0.42</v>
      </c>
      <c r="CT167" s="285">
        <v>0.42</v>
      </c>
      <c r="CU167" s="285">
        <v>0.42</v>
      </c>
      <c r="CV167" s="285">
        <v>0.43</v>
      </c>
      <c r="CW167" s="285">
        <v>0.43</v>
      </c>
      <c r="CX167" s="284">
        <v>0.43</v>
      </c>
      <c r="CY167" s="268" t="s">
        <v>79</v>
      </c>
      <c r="CZ167" s="268" t="s">
        <v>79</v>
      </c>
      <c r="DA167" s="268" t="s">
        <v>79</v>
      </c>
      <c r="DB167" s="268" t="s">
        <v>79</v>
      </c>
      <c r="DC167" s="268" t="s">
        <v>79</v>
      </c>
      <c r="DD167" s="270">
        <v>0.4</v>
      </c>
      <c r="DE167" s="270">
        <v>0.42</v>
      </c>
      <c r="DF167" s="270">
        <v>0.435</v>
      </c>
      <c r="DG167" s="268" t="s">
        <v>79</v>
      </c>
      <c r="DH167" s="268" t="s">
        <v>79</v>
      </c>
      <c r="DI167" s="285">
        <v>0.34</v>
      </c>
      <c r="DJ167" s="285">
        <v>0.34</v>
      </c>
      <c r="DK167" s="285">
        <v>0.34</v>
      </c>
      <c r="DL167" s="285">
        <v>0.34</v>
      </c>
      <c r="DM167" s="285">
        <v>0.34</v>
      </c>
      <c r="DN167" s="285">
        <v>0.34</v>
      </c>
      <c r="DO167" s="270">
        <v>0.4</v>
      </c>
      <c r="DP167" s="270">
        <v>0.4</v>
      </c>
      <c r="DQ167" s="270">
        <v>0.4</v>
      </c>
      <c r="DR167" s="270">
        <v>0.4</v>
      </c>
      <c r="DS167" s="268" t="s">
        <v>79</v>
      </c>
      <c r="DT167" s="268" t="s">
        <v>79</v>
      </c>
      <c r="DV167" s="274"/>
    </row>
    <row r="168" spans="17:126" ht="24" customHeight="1" thickBot="1">
      <c r="Q168" s="612"/>
      <c r="R168" s="31">
        <f t="shared" si="51"/>
        <v>0</v>
      </c>
      <c r="S168" s="31">
        <f t="shared" si="52"/>
        <v>0</v>
      </c>
      <c r="T168" s="31">
        <f t="shared" si="53"/>
        <v>0</v>
      </c>
      <c r="U168" s="31">
        <f t="shared" si="54"/>
        <v>0</v>
      </c>
      <c r="V168" s="31">
        <f t="shared" si="55"/>
        <v>0</v>
      </c>
      <c r="W168" s="31">
        <f t="shared" si="56"/>
        <v>0</v>
      </c>
      <c r="X168" s="31">
        <f t="shared" si="57"/>
        <v>0</v>
      </c>
      <c r="Y168" s="31">
        <f t="shared" si="58"/>
        <v>0</v>
      </c>
      <c r="Z168" s="31">
        <f t="shared" si="59"/>
        <v>0</v>
      </c>
      <c r="AA168" s="31">
        <f t="shared" si="60"/>
        <v>0</v>
      </c>
      <c r="AB168" s="31">
        <f t="shared" si="61"/>
        <v>0</v>
      </c>
      <c r="AC168" s="31">
        <f t="shared" si="62"/>
        <v>0</v>
      </c>
      <c r="AD168" s="31">
        <f t="shared" si="63"/>
        <v>0</v>
      </c>
      <c r="AE168" s="31">
        <f t="shared" si="64"/>
        <v>0</v>
      </c>
      <c r="AF168" s="31">
        <f t="shared" si="65"/>
        <v>0</v>
      </c>
      <c r="AG168" s="31">
        <f t="shared" si="66"/>
        <v>0</v>
      </c>
      <c r="AH168" s="31">
        <f t="shared" si="67"/>
        <v>0</v>
      </c>
      <c r="AI168" s="31">
        <f t="shared" si="68"/>
        <v>0</v>
      </c>
      <c r="AJ168" s="31">
        <f t="shared" si="69"/>
        <v>0</v>
      </c>
      <c r="AK168" s="31">
        <f t="shared" si="70"/>
        <v>0</v>
      </c>
      <c r="AL168" s="31">
        <f t="shared" si="71"/>
        <v>0</v>
      </c>
      <c r="AM168" s="31">
        <f t="shared" si="72"/>
        <v>0</v>
      </c>
      <c r="AN168" s="31">
        <f t="shared" si="73"/>
        <v>0</v>
      </c>
      <c r="AO168" s="31">
        <f t="shared" si="74"/>
        <v>0</v>
      </c>
      <c r="AP168" s="31">
        <f t="shared" si="75"/>
        <v>0</v>
      </c>
      <c r="AQ168" s="31">
        <f t="shared" si="76"/>
        <v>0</v>
      </c>
      <c r="AR168" s="31">
        <f t="shared" si="77"/>
        <v>0</v>
      </c>
      <c r="AS168" s="31">
        <f t="shared" si="78"/>
        <v>0</v>
      </c>
      <c r="AT168" s="31">
        <f t="shared" si="79"/>
        <v>0</v>
      </c>
      <c r="AU168" s="244">
        <f t="shared" si="81"/>
        <v>0</v>
      </c>
      <c r="CN168" s="596"/>
      <c r="CO168" s="259" t="s">
        <v>37</v>
      </c>
      <c r="CP168" s="260"/>
      <c r="CQ168" s="261"/>
      <c r="CR168" s="322">
        <v>0.32</v>
      </c>
      <c r="CS168" s="285">
        <v>0.32</v>
      </c>
      <c r="CT168" s="285">
        <v>0.32</v>
      </c>
      <c r="CU168" s="285">
        <v>0.32</v>
      </c>
      <c r="CV168" s="285">
        <v>0.33</v>
      </c>
      <c r="CW168" s="285">
        <v>0.33</v>
      </c>
      <c r="CX168" s="284">
        <v>0.33</v>
      </c>
      <c r="CY168" s="268" t="s">
        <v>79</v>
      </c>
      <c r="CZ168" s="268" t="s">
        <v>79</v>
      </c>
      <c r="DA168" s="268" t="s">
        <v>79</v>
      </c>
      <c r="DB168" s="268" t="s">
        <v>79</v>
      </c>
      <c r="DC168" s="268" t="s">
        <v>79</v>
      </c>
      <c r="DD168" s="270">
        <v>0.3</v>
      </c>
      <c r="DE168" s="270">
        <v>0.32</v>
      </c>
      <c r="DF168" s="270">
        <v>0.335</v>
      </c>
      <c r="DG168" s="268" t="s">
        <v>79</v>
      </c>
      <c r="DH168" s="268" t="s">
        <v>79</v>
      </c>
      <c r="DI168" s="285">
        <v>0.24</v>
      </c>
      <c r="DJ168" s="285">
        <v>0.24</v>
      </c>
      <c r="DK168" s="285">
        <v>0.24</v>
      </c>
      <c r="DL168" s="285">
        <v>0.24</v>
      </c>
      <c r="DM168" s="285">
        <v>0.24</v>
      </c>
      <c r="DN168" s="285">
        <v>0.24</v>
      </c>
      <c r="DO168" s="270">
        <v>0.3</v>
      </c>
      <c r="DP168" s="270">
        <v>0.3</v>
      </c>
      <c r="DQ168" s="270">
        <v>0.3</v>
      </c>
      <c r="DR168" s="270">
        <v>0.3</v>
      </c>
      <c r="DS168" s="268" t="s">
        <v>79</v>
      </c>
      <c r="DT168" s="268" t="s">
        <v>79</v>
      </c>
      <c r="DV168" s="274"/>
    </row>
    <row r="169" spans="17:126" ht="31.5" customHeight="1" thickBot="1">
      <c r="Q169" s="612"/>
      <c r="R169" s="31">
        <f t="shared" si="51"/>
        <v>0</v>
      </c>
      <c r="S169" s="31">
        <f t="shared" si="52"/>
        <v>0</v>
      </c>
      <c r="T169" s="31">
        <f t="shared" si="53"/>
        <v>0</v>
      </c>
      <c r="U169" s="31">
        <f t="shared" si="54"/>
        <v>0</v>
      </c>
      <c r="V169" s="31">
        <f t="shared" si="55"/>
        <v>0</v>
      </c>
      <c r="W169" s="31">
        <f t="shared" si="56"/>
        <v>0</v>
      </c>
      <c r="X169" s="31">
        <f t="shared" si="57"/>
        <v>0</v>
      </c>
      <c r="Y169" s="31">
        <f t="shared" si="58"/>
        <v>0</v>
      </c>
      <c r="Z169" s="31">
        <f t="shared" si="59"/>
        <v>0</v>
      </c>
      <c r="AA169" s="31">
        <f t="shared" si="60"/>
        <v>0</v>
      </c>
      <c r="AB169" s="31">
        <f t="shared" si="61"/>
        <v>0</v>
      </c>
      <c r="AC169" s="31">
        <f t="shared" si="62"/>
        <v>0</v>
      </c>
      <c r="AD169" s="31">
        <f t="shared" si="63"/>
        <v>0</v>
      </c>
      <c r="AE169" s="31">
        <f t="shared" si="64"/>
        <v>0</v>
      </c>
      <c r="AF169" s="31">
        <f t="shared" si="65"/>
        <v>0</v>
      </c>
      <c r="AG169" s="31">
        <f t="shared" si="66"/>
        <v>0</v>
      </c>
      <c r="AH169" s="31">
        <f t="shared" si="67"/>
        <v>0</v>
      </c>
      <c r="AI169" s="31">
        <f t="shared" si="68"/>
        <v>0</v>
      </c>
      <c r="AJ169" s="31">
        <f t="shared" si="69"/>
        <v>0</v>
      </c>
      <c r="AK169" s="31">
        <f t="shared" si="70"/>
        <v>0</v>
      </c>
      <c r="AL169" s="31">
        <f t="shared" si="71"/>
        <v>0</v>
      </c>
      <c r="AM169" s="31">
        <f t="shared" si="72"/>
        <v>0</v>
      </c>
      <c r="AN169" s="31">
        <f t="shared" si="73"/>
        <v>0</v>
      </c>
      <c r="AO169" s="31">
        <f t="shared" si="74"/>
        <v>0</v>
      </c>
      <c r="AP169" s="31">
        <f t="shared" si="75"/>
        <v>0</v>
      </c>
      <c r="AQ169" s="31">
        <f t="shared" si="76"/>
        <v>0</v>
      </c>
      <c r="AR169" s="31">
        <f t="shared" si="77"/>
        <v>0</v>
      </c>
      <c r="AS169" s="31">
        <f t="shared" si="78"/>
        <v>0</v>
      </c>
      <c r="AT169" s="31">
        <f t="shared" si="79"/>
        <v>0</v>
      </c>
      <c r="AU169" s="244">
        <f>IF(OR(R169="х",S169="х",T169="х",U169="х",V169="х",W169="х",X169="х",Y169="х",Z169="х",AA169="х",AB169="х",AC169="х",AD169="х",AE169="х",AF169="х",AG169="х",AH169="х",AI169="х",AJ169="х",AK169="х",AL169="х",AM169="х",AN169="х",AO169="х",AP169="х",AQ169="х",AR169="х",AS169="х",AT169="х"),0,MAXA(R169:AT169))</f>
        <v>0</v>
      </c>
      <c r="CN169" s="596"/>
      <c r="CO169" s="259" t="s">
        <v>38</v>
      </c>
      <c r="CP169" s="276"/>
      <c r="CQ169" s="261"/>
      <c r="CR169" s="322">
        <v>0.37</v>
      </c>
      <c r="CS169" s="285">
        <v>0.37</v>
      </c>
      <c r="CT169" s="285">
        <v>0.37</v>
      </c>
      <c r="CU169" s="285">
        <v>0.37</v>
      </c>
      <c r="CV169" s="285">
        <v>0.38</v>
      </c>
      <c r="CW169" s="285">
        <v>0.38</v>
      </c>
      <c r="CX169" s="284">
        <v>0.38</v>
      </c>
      <c r="CY169" s="268" t="s">
        <v>79</v>
      </c>
      <c r="CZ169" s="268" t="s">
        <v>79</v>
      </c>
      <c r="DA169" s="268" t="s">
        <v>79</v>
      </c>
      <c r="DB169" s="268" t="s">
        <v>79</v>
      </c>
      <c r="DC169" s="268" t="s">
        <v>79</v>
      </c>
      <c r="DD169" s="270">
        <v>0.35</v>
      </c>
      <c r="DE169" s="270">
        <v>0.37</v>
      </c>
      <c r="DF169" s="270">
        <v>0.385</v>
      </c>
      <c r="DG169" s="268" t="s">
        <v>79</v>
      </c>
      <c r="DH169" s="268" t="s">
        <v>79</v>
      </c>
      <c r="DI169" s="285">
        <v>0.29</v>
      </c>
      <c r="DJ169" s="285">
        <v>0.29</v>
      </c>
      <c r="DK169" s="285">
        <v>0.29</v>
      </c>
      <c r="DL169" s="285">
        <v>0.29</v>
      </c>
      <c r="DM169" s="285">
        <v>0.29</v>
      </c>
      <c r="DN169" s="285">
        <v>0.29</v>
      </c>
      <c r="DO169" s="270">
        <v>0.35</v>
      </c>
      <c r="DP169" s="270">
        <v>0.35</v>
      </c>
      <c r="DQ169" s="270">
        <v>0.35</v>
      </c>
      <c r="DR169" s="270">
        <v>0.35</v>
      </c>
      <c r="DS169" s="268" t="s">
        <v>79</v>
      </c>
      <c r="DT169" s="268" t="s">
        <v>79</v>
      </c>
      <c r="DV169" s="274"/>
    </row>
    <row r="170" spans="17:126" ht="33.75" customHeight="1" thickBot="1">
      <c r="Q170" s="612"/>
      <c r="R170" s="31">
        <f t="shared" si="51"/>
        <v>0</v>
      </c>
      <c r="S170" s="31">
        <f t="shared" si="52"/>
        <v>0</v>
      </c>
      <c r="T170" s="31">
        <f t="shared" si="53"/>
        <v>0</v>
      </c>
      <c r="U170" s="31">
        <f t="shared" si="54"/>
        <v>0</v>
      </c>
      <c r="V170" s="31">
        <f t="shared" si="55"/>
        <v>0</v>
      </c>
      <c r="W170" s="31">
        <f t="shared" si="56"/>
        <v>0</v>
      </c>
      <c r="X170" s="31">
        <f t="shared" si="57"/>
        <v>0</v>
      </c>
      <c r="Y170" s="31">
        <f t="shared" si="58"/>
        <v>0</v>
      </c>
      <c r="Z170" s="31">
        <f t="shared" si="59"/>
        <v>0</v>
      </c>
      <c r="AA170" s="31">
        <f t="shared" si="60"/>
        <v>0</v>
      </c>
      <c r="AB170" s="31">
        <f t="shared" si="61"/>
        <v>0</v>
      </c>
      <c r="AC170" s="31">
        <f t="shared" si="62"/>
        <v>0</v>
      </c>
      <c r="AD170" s="31">
        <f t="shared" si="63"/>
        <v>0</v>
      </c>
      <c r="AE170" s="31">
        <f t="shared" si="64"/>
        <v>0</v>
      </c>
      <c r="AF170" s="31">
        <f t="shared" si="65"/>
        <v>0</v>
      </c>
      <c r="AG170" s="31">
        <f t="shared" si="66"/>
        <v>0</v>
      </c>
      <c r="AH170" s="31">
        <f t="shared" si="67"/>
        <v>0</v>
      </c>
      <c r="AI170" s="31">
        <f t="shared" si="68"/>
        <v>0</v>
      </c>
      <c r="AJ170" s="31">
        <f t="shared" si="69"/>
        <v>0</v>
      </c>
      <c r="AK170" s="31">
        <f t="shared" si="70"/>
        <v>0</v>
      </c>
      <c r="AL170" s="31">
        <f t="shared" si="71"/>
        <v>0</v>
      </c>
      <c r="AM170" s="31">
        <f t="shared" si="72"/>
        <v>0</v>
      </c>
      <c r="AN170" s="31">
        <f t="shared" si="73"/>
        <v>0</v>
      </c>
      <c r="AO170" s="31">
        <f t="shared" si="74"/>
        <v>0</v>
      </c>
      <c r="AP170" s="31">
        <f t="shared" si="75"/>
        <v>0</v>
      </c>
      <c r="AQ170" s="31">
        <f t="shared" si="76"/>
        <v>0</v>
      </c>
      <c r="AR170" s="31">
        <f t="shared" si="77"/>
        <v>0</v>
      </c>
      <c r="AS170" s="31">
        <f t="shared" si="78"/>
        <v>0</v>
      </c>
      <c r="AT170" s="31">
        <f t="shared" si="79"/>
        <v>0</v>
      </c>
      <c r="AU170" s="244">
        <f t="shared" si="81"/>
        <v>0</v>
      </c>
      <c r="CN170" s="597"/>
      <c r="CO170" s="286" t="s">
        <v>39</v>
      </c>
      <c r="CP170" s="246"/>
      <c r="CQ170" s="261"/>
      <c r="CR170" s="322">
        <v>0.35</v>
      </c>
      <c r="CS170" s="285">
        <v>0.35</v>
      </c>
      <c r="CT170" s="285">
        <v>0.35</v>
      </c>
      <c r="CU170" s="285">
        <v>0.35</v>
      </c>
      <c r="CV170" s="285">
        <v>0.4</v>
      </c>
      <c r="CW170" s="285">
        <v>0.4</v>
      </c>
      <c r="CX170" s="284">
        <v>0.4</v>
      </c>
      <c r="CY170" s="268" t="s">
        <v>79</v>
      </c>
      <c r="CZ170" s="268" t="s">
        <v>79</v>
      </c>
      <c r="DA170" s="268" t="s">
        <v>79</v>
      </c>
      <c r="DB170" s="268" t="s">
        <v>79</v>
      </c>
      <c r="DC170" s="268" t="s">
        <v>79</v>
      </c>
      <c r="DD170" s="327">
        <v>0.3</v>
      </c>
      <c r="DE170" s="327">
        <v>0.36</v>
      </c>
      <c r="DF170" s="327">
        <v>0.42</v>
      </c>
      <c r="DG170" s="268" t="s">
        <v>79</v>
      </c>
      <c r="DH170" s="268" t="s">
        <v>79</v>
      </c>
      <c r="DI170" s="285">
        <v>0.3</v>
      </c>
      <c r="DJ170" s="285">
        <v>0.3</v>
      </c>
      <c r="DK170" s="285">
        <v>0.3</v>
      </c>
      <c r="DL170" s="285">
        <v>0.3</v>
      </c>
      <c r="DM170" s="285">
        <v>0.3</v>
      </c>
      <c r="DN170" s="285">
        <v>0.3</v>
      </c>
      <c r="DO170" s="270">
        <v>0.36</v>
      </c>
      <c r="DP170" s="270">
        <v>0.36</v>
      </c>
      <c r="DQ170" s="270">
        <v>0.36</v>
      </c>
      <c r="DR170" s="270">
        <v>0.36</v>
      </c>
      <c r="DS170" s="268" t="s">
        <v>79</v>
      </c>
      <c r="DT170" s="268" t="s">
        <v>79</v>
      </c>
      <c r="DV170" s="274"/>
    </row>
    <row r="171" spans="17:126" ht="112.5" customHeight="1" thickBot="1">
      <c r="Q171" s="611" t="s">
        <v>70</v>
      </c>
      <c r="R171" s="31">
        <f t="shared" si="51"/>
        <v>0</v>
      </c>
      <c r="S171" s="31">
        <f t="shared" si="52"/>
        <v>0</v>
      </c>
      <c r="T171" s="31">
        <f t="shared" si="53"/>
        <v>0</v>
      </c>
      <c r="U171" s="31">
        <f t="shared" si="54"/>
        <v>0</v>
      </c>
      <c r="V171" s="31">
        <f t="shared" si="55"/>
        <v>0</v>
      </c>
      <c r="W171" s="31">
        <f t="shared" si="56"/>
        <v>0</v>
      </c>
      <c r="X171" s="31">
        <f t="shared" si="57"/>
        <v>0</v>
      </c>
      <c r="Y171" s="31">
        <f t="shared" si="58"/>
        <v>0</v>
      </c>
      <c r="Z171" s="31">
        <f t="shared" si="59"/>
        <v>0</v>
      </c>
      <c r="AA171" s="31">
        <f t="shared" si="60"/>
        <v>0</v>
      </c>
      <c r="AB171" s="31">
        <f t="shared" si="61"/>
        <v>0</v>
      </c>
      <c r="AC171" s="31">
        <f t="shared" si="62"/>
        <v>0</v>
      </c>
      <c r="AD171" s="31">
        <f t="shared" si="63"/>
        <v>0</v>
      </c>
      <c r="AE171" s="31">
        <f t="shared" si="64"/>
        <v>0</v>
      </c>
      <c r="AF171" s="31">
        <f t="shared" si="65"/>
        <v>0</v>
      </c>
      <c r="AG171" s="31">
        <f t="shared" si="66"/>
        <v>0</v>
      </c>
      <c r="AH171" s="31">
        <f t="shared" si="67"/>
        <v>0</v>
      </c>
      <c r="AI171" s="31">
        <f t="shared" si="68"/>
        <v>0</v>
      </c>
      <c r="AJ171" s="31">
        <f t="shared" si="69"/>
        <v>0</v>
      </c>
      <c r="AK171" s="31">
        <f t="shared" si="70"/>
        <v>0</v>
      </c>
      <c r="AL171" s="31">
        <f t="shared" si="71"/>
        <v>0</v>
      </c>
      <c r="AM171" s="31">
        <f t="shared" si="72"/>
        <v>0</v>
      </c>
      <c r="AN171" s="31">
        <f t="shared" si="73"/>
        <v>0</v>
      </c>
      <c r="AO171" s="31">
        <f t="shared" si="74"/>
        <v>0</v>
      </c>
      <c r="AP171" s="31">
        <f t="shared" si="75"/>
        <v>0</v>
      </c>
      <c r="AQ171" s="31">
        <f t="shared" si="76"/>
        <v>0</v>
      </c>
      <c r="AR171" s="31">
        <f t="shared" si="77"/>
        <v>0</v>
      </c>
      <c r="AS171" s="31">
        <f t="shared" si="78"/>
        <v>0</v>
      </c>
      <c r="AT171" s="31">
        <f t="shared" si="79"/>
        <v>0</v>
      </c>
      <c r="AU171" s="244">
        <f t="shared" si="81"/>
        <v>0</v>
      </c>
      <c r="CN171" s="595" t="s">
        <v>70</v>
      </c>
      <c r="CO171" s="287" t="s">
        <v>40</v>
      </c>
      <c r="CP171" s="260"/>
      <c r="CQ171" s="261"/>
      <c r="CR171" s="320">
        <v>0.42</v>
      </c>
      <c r="CS171" s="205">
        <v>0.42</v>
      </c>
      <c r="CT171" s="205">
        <v>0.42</v>
      </c>
      <c r="CU171" s="205">
        <v>0.42</v>
      </c>
      <c r="CV171" s="205">
        <v>0.44</v>
      </c>
      <c r="CW171" s="205">
        <v>0.44</v>
      </c>
      <c r="CX171" s="205">
        <v>0.44</v>
      </c>
      <c r="CY171" s="268" t="s">
        <v>79</v>
      </c>
      <c r="CZ171" s="268" t="s">
        <v>79</v>
      </c>
      <c r="DA171" s="268" t="s">
        <v>79</v>
      </c>
      <c r="DB171" s="268" t="s">
        <v>79</v>
      </c>
      <c r="DC171" s="268" t="s">
        <v>79</v>
      </c>
      <c r="DD171" s="256">
        <v>0.4</v>
      </c>
      <c r="DE171" s="256">
        <v>0.42</v>
      </c>
      <c r="DF171" s="256">
        <v>0.44</v>
      </c>
      <c r="DG171" s="268" t="s">
        <v>79</v>
      </c>
      <c r="DH171" s="268" t="s">
        <v>79</v>
      </c>
      <c r="DI171" s="256">
        <v>0.4</v>
      </c>
      <c r="DJ171" s="256">
        <v>0.4</v>
      </c>
      <c r="DK171" s="256">
        <v>0.4</v>
      </c>
      <c r="DL171" s="256">
        <v>0.4</v>
      </c>
      <c r="DM171" s="256">
        <v>0.4</v>
      </c>
      <c r="DN171" s="256">
        <v>0.4</v>
      </c>
      <c r="DO171" s="256">
        <v>0.42</v>
      </c>
      <c r="DP171" s="256">
        <v>0.42</v>
      </c>
      <c r="DQ171" s="256">
        <v>0.42</v>
      </c>
      <c r="DR171" s="256">
        <v>0.42</v>
      </c>
      <c r="DS171" s="268" t="s">
        <v>79</v>
      </c>
      <c r="DT171" s="268" t="s">
        <v>79</v>
      </c>
      <c r="DV171" s="274"/>
    </row>
    <row r="172" spans="17:126" ht="23.25" customHeight="1" thickBot="1">
      <c r="Q172" s="612"/>
      <c r="R172" s="31">
        <f t="shared" si="51"/>
        <v>0</v>
      </c>
      <c r="S172" s="31">
        <f t="shared" si="52"/>
        <v>0</v>
      </c>
      <c r="T172" s="31">
        <f t="shared" si="53"/>
        <v>0</v>
      </c>
      <c r="U172" s="31">
        <f t="shared" si="54"/>
        <v>0</v>
      </c>
      <c r="V172" s="31">
        <f t="shared" si="55"/>
        <v>0</v>
      </c>
      <c r="W172" s="31">
        <f t="shared" si="56"/>
        <v>0</v>
      </c>
      <c r="X172" s="31">
        <f t="shared" si="57"/>
        <v>0</v>
      </c>
      <c r="Y172" s="31">
        <f t="shared" si="58"/>
        <v>0</v>
      </c>
      <c r="Z172" s="31">
        <f t="shared" si="59"/>
        <v>0</v>
      </c>
      <c r="AA172" s="31">
        <f t="shared" si="60"/>
        <v>0</v>
      </c>
      <c r="AB172" s="31">
        <f t="shared" si="61"/>
        <v>0</v>
      </c>
      <c r="AC172" s="31">
        <f t="shared" si="62"/>
        <v>0</v>
      </c>
      <c r="AD172" s="31">
        <f t="shared" si="63"/>
        <v>0</v>
      </c>
      <c r="AE172" s="31">
        <f t="shared" si="64"/>
        <v>0</v>
      </c>
      <c r="AF172" s="31">
        <f t="shared" si="65"/>
        <v>0</v>
      </c>
      <c r="AG172" s="31">
        <f t="shared" si="66"/>
        <v>0</v>
      </c>
      <c r="AH172" s="31">
        <f t="shared" si="67"/>
        <v>0</v>
      </c>
      <c r="AI172" s="31">
        <f t="shared" si="68"/>
        <v>0</v>
      </c>
      <c r="AJ172" s="31">
        <f t="shared" si="69"/>
        <v>0</v>
      </c>
      <c r="AK172" s="31">
        <f t="shared" si="70"/>
        <v>0</v>
      </c>
      <c r="AL172" s="31">
        <f t="shared" si="71"/>
        <v>0</v>
      </c>
      <c r="AM172" s="31">
        <f t="shared" si="72"/>
        <v>0</v>
      </c>
      <c r="AN172" s="31">
        <f t="shared" si="73"/>
        <v>0</v>
      </c>
      <c r="AO172" s="31">
        <f t="shared" si="74"/>
        <v>0</v>
      </c>
      <c r="AP172" s="31">
        <f t="shared" si="75"/>
        <v>0</v>
      </c>
      <c r="AQ172" s="31">
        <f t="shared" si="76"/>
        <v>0</v>
      </c>
      <c r="AR172" s="31">
        <f t="shared" si="77"/>
        <v>0</v>
      </c>
      <c r="AS172" s="31">
        <f t="shared" si="78"/>
        <v>0</v>
      </c>
      <c r="AT172" s="31">
        <f t="shared" si="79"/>
        <v>0</v>
      </c>
      <c r="AU172" s="244">
        <f>IF(OR(R172="х",S172="х",T172="х",U172="х",V172="х",W172="х",X172="х",Y172="х",Z172="х",AA172="х",AB172="х",AC172="х",AD172="х",AE172="х",AF172="х",AG172="х",AH172="х",AI172="х",AJ172="х",AK172="х",AL172="х",AM172="х",AN172="х",AO172="х",AP172="х",AQ172="х",AR172="х",AS172="х",AT172="х"),0,MAXA(R172:AT172))</f>
        <v>0</v>
      </c>
      <c r="CN172" s="596"/>
      <c r="CO172" s="288" t="s">
        <v>41</v>
      </c>
      <c r="CP172" s="276"/>
      <c r="CQ172" s="261"/>
      <c r="CR172" s="322">
        <v>0.37</v>
      </c>
      <c r="CS172" s="285">
        <v>0.37</v>
      </c>
      <c r="CT172" s="285">
        <v>0.37</v>
      </c>
      <c r="CU172" s="285">
        <v>0.37</v>
      </c>
      <c r="CV172" s="285">
        <v>0.38</v>
      </c>
      <c r="CW172" s="285">
        <v>0.38</v>
      </c>
      <c r="CX172" s="285">
        <v>0.38</v>
      </c>
      <c r="CY172" s="268" t="s">
        <v>79</v>
      </c>
      <c r="CZ172" s="268" t="s">
        <v>79</v>
      </c>
      <c r="DA172" s="268" t="s">
        <v>79</v>
      </c>
      <c r="DB172" s="268" t="s">
        <v>79</v>
      </c>
      <c r="DC172" s="268" t="s">
        <v>79</v>
      </c>
      <c r="DD172" s="270">
        <v>0.35</v>
      </c>
      <c r="DE172" s="270">
        <v>0.37</v>
      </c>
      <c r="DF172" s="270">
        <v>0.38</v>
      </c>
      <c r="DG172" s="268" t="s">
        <v>79</v>
      </c>
      <c r="DH172" s="268" t="s">
        <v>79</v>
      </c>
      <c r="DI172" s="270">
        <v>0.35</v>
      </c>
      <c r="DJ172" s="270">
        <v>0.35</v>
      </c>
      <c r="DK172" s="270">
        <v>0.35</v>
      </c>
      <c r="DL172" s="270">
        <v>0.35</v>
      </c>
      <c r="DM172" s="270">
        <v>0.35</v>
      </c>
      <c r="DN172" s="270">
        <v>0.35</v>
      </c>
      <c r="DO172" s="270">
        <v>0.37</v>
      </c>
      <c r="DP172" s="270">
        <v>0.37</v>
      </c>
      <c r="DQ172" s="270">
        <v>0.37</v>
      </c>
      <c r="DR172" s="270">
        <v>0.37</v>
      </c>
      <c r="DS172" s="268" t="s">
        <v>79</v>
      </c>
      <c r="DT172" s="268" t="s">
        <v>79</v>
      </c>
      <c r="DV172" s="274"/>
    </row>
    <row r="173" spans="8:126" ht="67.5" customHeight="1" thickBot="1">
      <c r="H173" s="5"/>
      <c r="I173" s="5"/>
      <c r="J173" s="5"/>
      <c r="Q173" s="613"/>
      <c r="R173" s="31">
        <f t="shared" si="51"/>
        <v>0</v>
      </c>
      <c r="S173" s="31">
        <f t="shared" si="52"/>
        <v>0</v>
      </c>
      <c r="T173" s="31">
        <f t="shared" si="53"/>
        <v>0</v>
      </c>
      <c r="U173" s="31">
        <f t="shared" si="54"/>
        <v>0</v>
      </c>
      <c r="V173" s="31">
        <f t="shared" si="55"/>
        <v>0</v>
      </c>
      <c r="W173" s="31">
        <f t="shared" si="56"/>
        <v>0</v>
      </c>
      <c r="X173" s="31">
        <f t="shared" si="57"/>
        <v>0</v>
      </c>
      <c r="Y173" s="31">
        <f t="shared" si="58"/>
        <v>0</v>
      </c>
      <c r="Z173" s="31">
        <f t="shared" si="59"/>
        <v>0</v>
      </c>
      <c r="AA173" s="31">
        <f t="shared" si="60"/>
        <v>0</v>
      </c>
      <c r="AB173" s="31">
        <f t="shared" si="61"/>
        <v>0</v>
      </c>
      <c r="AC173" s="31">
        <f t="shared" si="62"/>
        <v>0</v>
      </c>
      <c r="AD173" s="31">
        <f t="shared" si="63"/>
        <v>0</v>
      </c>
      <c r="AE173" s="31">
        <f t="shared" si="64"/>
        <v>0</v>
      </c>
      <c r="AF173" s="31">
        <f t="shared" si="65"/>
        <v>0</v>
      </c>
      <c r="AG173" s="31">
        <f t="shared" si="66"/>
        <v>0</v>
      </c>
      <c r="AH173" s="31">
        <f t="shared" si="67"/>
        <v>0</v>
      </c>
      <c r="AI173" s="31">
        <f t="shared" si="68"/>
        <v>0</v>
      </c>
      <c r="AJ173" s="31">
        <f t="shared" si="69"/>
        <v>0</v>
      </c>
      <c r="AK173" s="31">
        <f t="shared" si="70"/>
        <v>0</v>
      </c>
      <c r="AL173" s="31">
        <f t="shared" si="71"/>
        <v>0</v>
      </c>
      <c r="AM173" s="31">
        <f t="shared" si="72"/>
        <v>0</v>
      </c>
      <c r="AN173" s="31">
        <f t="shared" si="73"/>
        <v>0</v>
      </c>
      <c r="AO173" s="31">
        <f t="shared" si="74"/>
        <v>0</v>
      </c>
      <c r="AP173" s="31">
        <f t="shared" si="75"/>
        <v>0</v>
      </c>
      <c r="AQ173" s="31">
        <f t="shared" si="76"/>
        <v>0</v>
      </c>
      <c r="AR173" s="31">
        <f t="shared" si="77"/>
        <v>0</v>
      </c>
      <c r="AS173" s="31">
        <f t="shared" si="78"/>
        <v>0</v>
      </c>
      <c r="AT173" s="31">
        <f t="shared" si="79"/>
        <v>0</v>
      </c>
      <c r="AU173" s="244">
        <f>IF(OR(R173="х",S173="х",T173="х",U173="х",V173="х",W173="х",X173="х",Y173="х",Z173="х",AA173="х",AB173="х",AC173="х",AD173="х",AE173="х",AF173="х",AG173="х",AH173="х",AI173="х",AJ173="х",AK173="х",AL173="х",AM173="х",AN173="х",AO173="х",AP173="х",AQ173="х",AR173="х",AS173="х",AT173="х"),0,MAXA(R173:AT173))</f>
        <v>0</v>
      </c>
      <c r="CN173" s="597"/>
      <c r="CO173" s="289" t="s">
        <v>42</v>
      </c>
      <c r="CP173" s="246"/>
      <c r="CQ173" s="261"/>
      <c r="CR173" s="268" t="s">
        <v>79</v>
      </c>
      <c r="CS173" s="268" t="s">
        <v>79</v>
      </c>
      <c r="CT173" s="268" t="s">
        <v>79</v>
      </c>
      <c r="CU173" s="268" t="s">
        <v>79</v>
      </c>
      <c r="CV173" s="268" t="s">
        <v>79</v>
      </c>
      <c r="CW173" s="268" t="s">
        <v>79</v>
      </c>
      <c r="CX173" s="268" t="s">
        <v>79</v>
      </c>
      <c r="CY173" s="268" t="s">
        <v>79</v>
      </c>
      <c r="CZ173" s="268" t="s">
        <v>79</v>
      </c>
      <c r="DA173" s="268" t="s">
        <v>79</v>
      </c>
      <c r="DB173" s="268" t="s">
        <v>79</v>
      </c>
      <c r="DC173" s="268" t="s">
        <v>79</v>
      </c>
      <c r="DD173" s="268" t="s">
        <v>79</v>
      </c>
      <c r="DE173" s="268" t="s">
        <v>79</v>
      </c>
      <c r="DF173" s="268" t="s">
        <v>79</v>
      </c>
      <c r="DG173" s="268" t="s">
        <v>79</v>
      </c>
      <c r="DH173" s="268" t="s">
        <v>79</v>
      </c>
      <c r="DI173" s="268" t="s">
        <v>79</v>
      </c>
      <c r="DJ173" s="268" t="s">
        <v>79</v>
      </c>
      <c r="DK173" s="268" t="s">
        <v>79</v>
      </c>
      <c r="DL173" s="268" t="s">
        <v>79</v>
      </c>
      <c r="DM173" s="268" t="s">
        <v>79</v>
      </c>
      <c r="DN173" s="268" t="s">
        <v>79</v>
      </c>
      <c r="DO173" s="268" t="s">
        <v>79</v>
      </c>
      <c r="DP173" s="268" t="s">
        <v>79</v>
      </c>
      <c r="DQ173" s="268" t="s">
        <v>79</v>
      </c>
      <c r="DR173" s="268" t="s">
        <v>79</v>
      </c>
      <c r="DS173" s="290" t="s">
        <v>79</v>
      </c>
      <c r="DT173" s="290" t="s">
        <v>79</v>
      </c>
      <c r="DV173" s="291"/>
    </row>
    <row r="174" spans="13:128" s="5" customFormat="1" ht="19.5" customHeight="1" thickBot="1">
      <c r="M174" s="4"/>
      <c r="CL174" s="6"/>
      <c r="CN174" s="292"/>
      <c r="CO174" s="293"/>
      <c r="CP174" s="157"/>
      <c r="CQ174" s="274"/>
      <c r="CR174" s="258"/>
      <c r="CS174" s="258"/>
      <c r="CT174" s="258"/>
      <c r="CU174" s="258"/>
      <c r="CV174" s="258"/>
      <c r="CW174" s="258"/>
      <c r="CX174" s="258"/>
      <c r="CY174" s="258"/>
      <c r="CZ174" s="258"/>
      <c r="DA174" s="258"/>
      <c r="DB174" s="294"/>
      <c r="DC174" s="295"/>
      <c r="DD174" s="295"/>
      <c r="DE174" s="295"/>
      <c r="DF174" s="295"/>
      <c r="DG174" s="295"/>
      <c r="DH174" s="295"/>
      <c r="DI174" s="295"/>
      <c r="DJ174" s="295"/>
      <c r="DK174" s="295"/>
      <c r="DL174" s="295"/>
      <c r="DM174" s="295"/>
      <c r="DN174" s="295"/>
      <c r="DO174" s="295"/>
      <c r="DP174" s="295"/>
      <c r="DQ174" s="295"/>
      <c r="DR174" s="295"/>
      <c r="DS174" s="295"/>
      <c r="DT174" s="296"/>
      <c r="DU174" s="297"/>
      <c r="DV174" s="298"/>
      <c r="DW174" s="299"/>
      <c r="DX174" s="9"/>
    </row>
    <row r="175" spans="8:128" s="5" customFormat="1" ht="20.25" customHeight="1">
      <c r="H175" s="3"/>
      <c r="I175" s="3"/>
      <c r="J175" s="3"/>
      <c r="M175" s="4"/>
      <c r="CL175" s="6"/>
      <c r="CN175" s="292"/>
      <c r="CO175" s="293"/>
      <c r="CP175" s="157"/>
      <c r="CQ175" s="293"/>
      <c r="CR175" s="193"/>
      <c r="CS175" s="193"/>
      <c r="CT175" s="193"/>
      <c r="CU175" s="193"/>
      <c r="CV175" s="193"/>
      <c r="CW175" s="193"/>
      <c r="CX175" s="193"/>
      <c r="CY175" s="328"/>
      <c r="CZ175" s="328"/>
      <c r="DA175" s="328"/>
      <c r="DB175" s="328"/>
      <c r="DC175" s="328"/>
      <c r="DD175" s="193"/>
      <c r="DE175" s="193"/>
      <c r="DF175" s="193"/>
      <c r="DG175" s="193"/>
      <c r="DH175" s="193"/>
      <c r="DI175" s="328"/>
      <c r="DJ175" s="328"/>
      <c r="DK175" s="328"/>
      <c r="DL175" s="328"/>
      <c r="DM175" s="328"/>
      <c r="DN175" s="328"/>
      <c r="DO175" s="328"/>
      <c r="DP175" s="328"/>
      <c r="DQ175" s="328"/>
      <c r="DR175" s="328"/>
      <c r="DS175" s="193"/>
      <c r="DT175" s="193"/>
      <c r="DX175" s="9"/>
    </row>
    <row r="176" spans="92:124" ht="15">
      <c r="CN176" s="553" t="s">
        <v>16</v>
      </c>
      <c r="CO176" s="553"/>
      <c r="CP176" s="553"/>
      <c r="CQ176" s="553"/>
      <c r="CR176" s="554"/>
      <c r="CS176" s="554"/>
      <c r="CT176" s="554"/>
      <c r="CU176" s="554"/>
      <c r="CV176" s="554"/>
      <c r="CW176" s="554"/>
      <c r="CX176" s="554"/>
      <c r="CY176" s="554"/>
      <c r="CZ176" s="554"/>
      <c r="DA176" s="554"/>
      <c r="DB176" s="554"/>
      <c r="DC176" s="554"/>
      <c r="DD176" s="554"/>
      <c r="DE176" s="554"/>
      <c r="DF176" s="554"/>
      <c r="DG176" s="554"/>
      <c r="DH176" s="554"/>
      <c r="DI176" s="554"/>
      <c r="DJ176" s="554"/>
      <c r="DK176" s="554"/>
      <c r="DL176" s="554"/>
      <c r="DM176" s="554"/>
      <c r="DN176" s="554"/>
      <c r="DO176" s="554"/>
      <c r="DP176" s="554"/>
      <c r="DQ176" s="554"/>
      <c r="DR176" s="554"/>
      <c r="DS176" s="554"/>
      <c r="DT176" s="10"/>
    </row>
    <row r="177" spans="8:46" ht="14.25">
      <c r="H177" s="7"/>
      <c r="I177" s="7"/>
      <c r="J177" s="7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spans="13:128" s="7" customFormat="1" ht="27.75" customHeight="1" thickBot="1">
      <c r="M178" s="184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CL178" s="185"/>
      <c r="CM178" s="8"/>
      <c r="CN178" s="626" t="s">
        <v>10</v>
      </c>
      <c r="CO178" s="627"/>
      <c r="CP178" s="285"/>
      <c r="CQ178" s="300"/>
      <c r="CR178" s="562" t="s">
        <v>17</v>
      </c>
      <c r="CS178" s="563"/>
      <c r="CT178" s="563"/>
      <c r="CU178" s="563"/>
      <c r="CV178" s="563"/>
      <c r="CW178" s="563"/>
      <c r="CX178" s="563"/>
      <c r="CY178" s="563"/>
      <c r="CZ178" s="563"/>
      <c r="DA178" s="563"/>
      <c r="DB178" s="563"/>
      <c r="DC178" s="563"/>
      <c r="DD178" s="628"/>
      <c r="DE178" s="628"/>
      <c r="DF178" s="628"/>
      <c r="DG178" s="628"/>
      <c r="DH178" s="628"/>
      <c r="DI178" s="628"/>
      <c r="DJ178" s="628"/>
      <c r="DK178" s="628"/>
      <c r="DL178" s="628"/>
      <c r="DM178" s="628"/>
      <c r="DN178" s="628"/>
      <c r="DO178" s="628"/>
      <c r="DP178" s="628"/>
      <c r="DQ178" s="628"/>
      <c r="DR178" s="628"/>
      <c r="DS178" s="629"/>
      <c r="DT178" s="189"/>
      <c r="DX178" s="190"/>
    </row>
    <row r="179" spans="8:128" s="7" customFormat="1" ht="15" customHeight="1">
      <c r="H179" s="301"/>
      <c r="I179" s="301"/>
      <c r="J179" s="301"/>
      <c r="M179" s="184"/>
      <c r="N179" s="8"/>
      <c r="O179" s="8"/>
      <c r="P179" s="8"/>
      <c r="Q179" s="302"/>
      <c r="R179" s="302"/>
      <c r="S179" s="302"/>
      <c r="T179" s="302"/>
      <c r="U179" s="302"/>
      <c r="V179" s="302"/>
      <c r="W179" s="302"/>
      <c r="X179" s="302"/>
      <c r="Y179" s="302"/>
      <c r="Z179" s="302"/>
      <c r="AA179" s="302"/>
      <c r="AB179" s="302"/>
      <c r="AC179" s="302"/>
      <c r="AD179" s="302"/>
      <c r="AE179" s="302"/>
      <c r="AF179" s="302"/>
      <c r="AG179" s="302"/>
      <c r="AH179" s="302"/>
      <c r="AI179" s="302"/>
      <c r="AJ179" s="302"/>
      <c r="AK179" s="302"/>
      <c r="AL179" s="302"/>
      <c r="AM179" s="302"/>
      <c r="AN179" s="302"/>
      <c r="AO179" s="302"/>
      <c r="AP179" s="302"/>
      <c r="AQ179" s="302"/>
      <c r="AR179" s="302"/>
      <c r="AS179" s="302"/>
      <c r="AT179" s="302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CL179" s="185"/>
      <c r="CM179" s="8"/>
      <c r="CN179" s="627"/>
      <c r="CO179" s="627"/>
      <c r="CP179" s="270"/>
      <c r="CQ179" s="300"/>
      <c r="CR179" s="555" t="s">
        <v>73</v>
      </c>
      <c r="CS179" s="556"/>
      <c r="CT179" s="556"/>
      <c r="CU179" s="556"/>
      <c r="CV179" s="556"/>
      <c r="CW179" s="556"/>
      <c r="CX179" s="556"/>
      <c r="CY179" s="620"/>
      <c r="CZ179" s="620"/>
      <c r="DA179" s="620"/>
      <c r="DB179" s="621"/>
      <c r="DC179" s="329"/>
      <c r="DD179" s="564" t="s">
        <v>74</v>
      </c>
      <c r="DE179" s="607"/>
      <c r="DF179" s="607"/>
      <c r="DG179" s="607"/>
      <c r="DH179" s="305"/>
      <c r="DI179" s="622" t="s">
        <v>75</v>
      </c>
      <c r="DJ179" s="622"/>
      <c r="DK179" s="622"/>
      <c r="DL179" s="622"/>
      <c r="DM179" s="622"/>
      <c r="DN179" s="622"/>
      <c r="DO179" s="622"/>
      <c r="DP179" s="622"/>
      <c r="DQ179" s="622"/>
      <c r="DR179" s="622"/>
      <c r="DS179" s="622"/>
      <c r="DT179" s="189"/>
      <c r="DX179" s="190"/>
    </row>
    <row r="180" spans="8:128" s="301" customFormat="1" ht="68.25" thickBot="1">
      <c r="H180" s="7"/>
      <c r="I180" s="7"/>
      <c r="J180" s="7"/>
      <c r="M180" s="306"/>
      <c r="N180" s="302"/>
      <c r="O180" s="302"/>
      <c r="P180" s="302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302"/>
      <c r="AV180" s="302"/>
      <c r="AW180" s="302"/>
      <c r="AX180" s="302"/>
      <c r="AY180" s="302"/>
      <c r="AZ180" s="302"/>
      <c r="BA180" s="302"/>
      <c r="BB180" s="302"/>
      <c r="BC180" s="302"/>
      <c r="BD180" s="302"/>
      <c r="BE180" s="302"/>
      <c r="BF180" s="302"/>
      <c r="BG180" s="302"/>
      <c r="BH180" s="302"/>
      <c r="BI180" s="302"/>
      <c r="BJ180" s="302"/>
      <c r="BK180" s="302"/>
      <c r="CL180" s="307"/>
      <c r="CM180" s="302"/>
      <c r="CN180" s="627"/>
      <c r="CO180" s="627"/>
      <c r="CP180" s="270"/>
      <c r="CQ180" s="193"/>
      <c r="CR180" s="634" t="s">
        <v>7</v>
      </c>
      <c r="CS180" s="608"/>
      <c r="CT180" s="608"/>
      <c r="CU180" s="608"/>
      <c r="CV180" s="608" t="s">
        <v>6</v>
      </c>
      <c r="CW180" s="608"/>
      <c r="CX180" s="608"/>
      <c r="CY180" s="608" t="s">
        <v>9</v>
      </c>
      <c r="CZ180" s="608"/>
      <c r="DA180" s="608"/>
      <c r="DB180" s="608"/>
      <c r="DC180" s="330"/>
      <c r="DD180" s="331" t="s">
        <v>11</v>
      </c>
      <c r="DE180" s="308" t="s">
        <v>12</v>
      </c>
      <c r="DF180" s="308" t="s">
        <v>13</v>
      </c>
      <c r="DG180" s="308" t="s">
        <v>8</v>
      </c>
      <c r="DH180" s="309"/>
      <c r="DI180" s="608" t="s">
        <v>7</v>
      </c>
      <c r="DJ180" s="608"/>
      <c r="DK180" s="608"/>
      <c r="DL180" s="608"/>
      <c r="DM180" s="608"/>
      <c r="DN180" s="608"/>
      <c r="DO180" s="608" t="s">
        <v>6</v>
      </c>
      <c r="DP180" s="608"/>
      <c r="DQ180" s="608"/>
      <c r="DR180" s="608"/>
      <c r="DS180" s="308" t="s">
        <v>8</v>
      </c>
      <c r="DT180" s="310"/>
      <c r="DX180" s="311"/>
    </row>
    <row r="181" spans="1:128" s="7" customFormat="1" ht="210.75" customHeight="1" thickBot="1">
      <c r="A181" s="156"/>
      <c r="B181" s="156"/>
      <c r="C181" s="156"/>
      <c r="D181" s="156"/>
      <c r="E181" s="156"/>
      <c r="F181" s="156"/>
      <c r="G181" s="156"/>
      <c r="H181" s="156"/>
      <c r="I181" s="156"/>
      <c r="M181" s="184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CL181" s="185"/>
      <c r="CM181" s="8"/>
      <c r="CN181" s="627"/>
      <c r="CO181" s="627"/>
      <c r="CP181" s="270"/>
      <c r="CQ181" s="208"/>
      <c r="CR181" s="209" t="s">
        <v>43</v>
      </c>
      <c r="CS181" s="210" t="s">
        <v>44</v>
      </c>
      <c r="CT181" s="210" t="s">
        <v>45</v>
      </c>
      <c r="CU181" s="211" t="s">
        <v>46</v>
      </c>
      <c r="CV181" s="212" t="s">
        <v>47</v>
      </c>
      <c r="CW181" s="213" t="s">
        <v>48</v>
      </c>
      <c r="CX181" s="214" t="s">
        <v>49</v>
      </c>
      <c r="CY181" s="215" t="s">
        <v>50</v>
      </c>
      <c r="CZ181" s="216" t="s">
        <v>51</v>
      </c>
      <c r="DA181" s="216" t="s">
        <v>52</v>
      </c>
      <c r="DB181" s="217" t="s">
        <v>169</v>
      </c>
      <c r="DC181" s="332" t="s">
        <v>199</v>
      </c>
      <c r="DD181" s="333" t="s">
        <v>53</v>
      </c>
      <c r="DE181" s="210" t="s">
        <v>54</v>
      </c>
      <c r="DF181" s="210" t="s">
        <v>55</v>
      </c>
      <c r="DG181" s="219" t="s">
        <v>56</v>
      </c>
      <c r="DH181" s="220" t="s">
        <v>200</v>
      </c>
      <c r="DI181" s="221" t="s">
        <v>57</v>
      </c>
      <c r="DJ181" s="222" t="s">
        <v>58</v>
      </c>
      <c r="DK181" s="222" t="s">
        <v>59</v>
      </c>
      <c r="DL181" s="222" t="s">
        <v>60</v>
      </c>
      <c r="DM181" s="222" t="s">
        <v>61</v>
      </c>
      <c r="DN181" s="223" t="s">
        <v>62</v>
      </c>
      <c r="DO181" s="221" t="s">
        <v>63</v>
      </c>
      <c r="DP181" s="222" t="s">
        <v>64</v>
      </c>
      <c r="DQ181" s="222" t="s">
        <v>65</v>
      </c>
      <c r="DR181" s="223" t="s">
        <v>66</v>
      </c>
      <c r="DS181" s="224" t="s">
        <v>67</v>
      </c>
      <c r="DT181" s="225" t="s">
        <v>198</v>
      </c>
      <c r="DX181" s="190"/>
    </row>
    <row r="182" spans="1:128" s="313" customFormat="1" ht="15.75" customHeight="1" thickBot="1">
      <c r="A182" s="156"/>
      <c r="B182" s="156"/>
      <c r="C182" s="156"/>
      <c r="D182" s="156"/>
      <c r="E182" s="156"/>
      <c r="F182" s="156"/>
      <c r="G182" s="156"/>
      <c r="H182" s="10"/>
      <c r="I182" s="10"/>
      <c r="J182" s="312"/>
      <c r="M182" s="314"/>
      <c r="N182" s="315"/>
      <c r="O182" s="315"/>
      <c r="P182" s="315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157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5"/>
      <c r="BH182" s="315"/>
      <c r="BI182" s="315"/>
      <c r="BJ182" s="315"/>
      <c r="BK182" s="315"/>
      <c r="CL182" s="316"/>
      <c r="CM182" s="315"/>
      <c r="CN182" s="317"/>
      <c r="CO182" s="318"/>
      <c r="CP182" s="232" t="s">
        <v>28</v>
      </c>
      <c r="CQ182" s="233"/>
      <c r="CR182" s="234"/>
      <c r="CS182" s="235"/>
      <c r="CT182" s="235"/>
      <c r="CU182" s="234"/>
      <c r="CV182" s="236"/>
      <c r="CW182" s="234"/>
      <c r="CX182" s="235"/>
      <c r="CY182" s="235"/>
      <c r="CZ182" s="234"/>
      <c r="DA182" s="236"/>
      <c r="DB182" s="237"/>
      <c r="DC182" s="238"/>
      <c r="DD182" s="234"/>
      <c r="DE182" s="234"/>
      <c r="DF182" s="236"/>
      <c r="DG182" s="234"/>
      <c r="DH182" s="237"/>
      <c r="DI182" s="239"/>
      <c r="DJ182" s="240"/>
      <c r="DK182" s="240"/>
      <c r="DL182" s="241"/>
      <c r="DM182" s="240"/>
      <c r="DN182" s="240"/>
      <c r="DO182" s="241"/>
      <c r="DP182" s="240"/>
      <c r="DQ182" s="240"/>
      <c r="DR182" s="241"/>
      <c r="DS182" s="240"/>
      <c r="DT182" s="237"/>
      <c r="DX182" s="319"/>
    </row>
    <row r="183" spans="1:126" ht="32.25" customHeight="1" thickBot="1">
      <c r="A183" s="10"/>
      <c r="B183" s="10"/>
      <c r="C183" s="10"/>
      <c r="D183" s="10"/>
      <c r="E183" s="10"/>
      <c r="F183" s="10"/>
      <c r="G183" s="10"/>
      <c r="H183" s="10"/>
      <c r="I183" s="10"/>
      <c r="Q183" s="609" t="s">
        <v>68</v>
      </c>
      <c r="R183" s="31">
        <f aca="true" t="shared" si="82" ref="R183:R196">IF(AND(O37="х",$E$22="х"),CR183,0)</f>
        <v>0</v>
      </c>
      <c r="S183" s="31">
        <f aca="true" t="shared" si="83" ref="S183:S196">IF(AND(O37="х",$E$23="х"),CS183,0)</f>
        <v>0</v>
      </c>
      <c r="T183" s="31">
        <f aca="true" t="shared" si="84" ref="T183:T196">IF(AND(O37="х",$E$24="х"),CT183,0)</f>
        <v>0</v>
      </c>
      <c r="U183" s="31">
        <f aca="true" t="shared" si="85" ref="U183:U196">IF(AND(O37="х",$E$25="х"),CU183,0)</f>
        <v>0</v>
      </c>
      <c r="V183" s="31">
        <f aca="true" t="shared" si="86" ref="V183:V196">IF(AND(O37="х",$E$26="х"),CV183,0)</f>
        <v>0</v>
      </c>
      <c r="W183" s="31">
        <f aca="true" t="shared" si="87" ref="W183:W196">IF(AND(O37="х",$E$27="х"),CW183,0)</f>
        <v>0</v>
      </c>
      <c r="X183" s="31">
        <f aca="true" t="shared" si="88" ref="X183:X196">IF(AND(O37="х",$E$28="х"),CX183,0)</f>
        <v>0</v>
      </c>
      <c r="Y183" s="31">
        <f aca="true" t="shared" si="89" ref="Y183:Y196">IF(AND(O37="х",$E$29="х"),CY183,0)</f>
        <v>0</v>
      </c>
      <c r="Z183" s="31">
        <f aca="true" t="shared" si="90" ref="Z183:Z196">IF(AND(O37="х",$E$30="х"),CZ183,0)</f>
        <v>0</v>
      </c>
      <c r="AA183" s="31">
        <f aca="true" t="shared" si="91" ref="AA183:AA196">IF(AND(O37="х",$E$31="х"),DA183,0)</f>
        <v>0</v>
      </c>
      <c r="AB183" s="31">
        <f aca="true" t="shared" si="92" ref="AB183:AB196">IF(AND(O37="х",$E$32="х"),DB183,0)</f>
        <v>0</v>
      </c>
      <c r="AC183" s="31">
        <f aca="true" t="shared" si="93" ref="AC183:AC196">IF(AND(O37="х",$E$33="х"),DC183,0)</f>
        <v>0</v>
      </c>
      <c r="AD183" s="31">
        <f aca="true" t="shared" si="94" ref="AD183:AD196">IF(AND(O37="х",$E$34="х"),DD183,0)</f>
        <v>0</v>
      </c>
      <c r="AE183" s="31">
        <f aca="true" t="shared" si="95" ref="AE183:AE196">IF(AND(O37="х",$E$35="х"),DE183,0)</f>
        <v>0</v>
      </c>
      <c r="AF183" s="31">
        <f aca="true" t="shared" si="96" ref="AF183:AF196">IF(AND(O37="х",$E$36="х"),DF183,0)</f>
        <v>0</v>
      </c>
      <c r="AG183" s="31">
        <f aca="true" t="shared" si="97" ref="AG183:AG196">IF(AND(O37="х",$E$37="х"),DG183,0)</f>
        <v>0</v>
      </c>
      <c r="AH183" s="31">
        <f aca="true" t="shared" si="98" ref="AH183:AH196">IF(AND(O37="х",$E$38="х"),DH183,0)</f>
        <v>0</v>
      </c>
      <c r="AI183" s="31">
        <f aca="true" t="shared" si="99" ref="AI183:AI196">IF(AND(O37="х",$E$39="х"),DI183,0)</f>
        <v>0</v>
      </c>
      <c r="AJ183" s="31">
        <f aca="true" t="shared" si="100" ref="AJ183:AJ196">IF(AND(O37="х",$E$40="х"),DJ183,0)</f>
        <v>0</v>
      </c>
      <c r="AK183" s="31">
        <f aca="true" t="shared" si="101" ref="AK183:AK196">IF(AND(O37="х",$E$41="х"),DK183,0)</f>
        <v>0</v>
      </c>
      <c r="AL183" s="31">
        <f aca="true" t="shared" si="102" ref="AL183:AL196">IF(AND(O37="х",$E$42="х"),DL183,0)</f>
        <v>0</v>
      </c>
      <c r="AM183" s="31">
        <f aca="true" t="shared" si="103" ref="AM183:AM196">IF(AND(O37="х",$E$43="х"),DM183,0)</f>
        <v>0</v>
      </c>
      <c r="AN183" s="31">
        <f aca="true" t="shared" si="104" ref="AN183:AN196">IF(AND(O37="х",$E$44="х"),DN183,0)</f>
        <v>0</v>
      </c>
      <c r="AO183" s="31">
        <f aca="true" t="shared" si="105" ref="AO183:AO196">IF(AND(O37="х",$E$45="х"),DO183,0)</f>
        <v>0</v>
      </c>
      <c r="AP183" s="31">
        <f aca="true" t="shared" si="106" ref="AP183:AP196">IF(AND(O37="х",$E$46="х"),DP183,0)</f>
        <v>0</v>
      </c>
      <c r="AQ183" s="31">
        <f aca="true" t="shared" si="107" ref="AQ183:AQ196">IF(AND(O37="х",$E$47="х"),DQ183,0)</f>
        <v>0</v>
      </c>
      <c r="AR183" s="31">
        <f aca="true" t="shared" si="108" ref="AR183:AR196">IF(AND(O37="х",$E$48="х"),DR183,0)</f>
        <v>0</v>
      </c>
      <c r="AS183" s="31">
        <f aca="true" t="shared" si="109" ref="AS183:AS196">IF(AND(O37="х",$E$49="х"),DS183,0)</f>
        <v>0</v>
      </c>
      <c r="AT183" s="31">
        <f aca="true" t="shared" si="110" ref="AT183:AT196">IF(AND(O37="х",$E$50="х"),DT183,0)</f>
        <v>0</v>
      </c>
      <c r="AU183" s="244">
        <f aca="true" t="shared" si="111" ref="AU183:AU196">IF(OR(R183="х",S183="х",T183="х",U183="х",V183="х",W183="х",X183="х",Y183="х",Z183="х",AA183="х",AB183="х",AC183="х",AD183="х",AE183="х",AF183="х",AG183="х",AH183="х",AI183="х",AJ183="х",AK183="х",AL183="х",AM183="х",AN183="х",AO183="х",AP183="х",AQ183="х",AR183="х",AS183="х",AT183="х"),0,MAXA(R183:AT183))</f>
        <v>0</v>
      </c>
      <c r="CN183" s="595" t="s">
        <v>68</v>
      </c>
      <c r="CO183" s="245" t="s">
        <v>29</v>
      </c>
      <c r="CP183" s="246"/>
      <c r="CQ183" s="247"/>
      <c r="CR183" s="334">
        <v>0.16</v>
      </c>
      <c r="CS183" s="256">
        <v>0.16</v>
      </c>
      <c r="CT183" s="256">
        <v>0.16</v>
      </c>
      <c r="CU183" s="256">
        <v>0.16</v>
      </c>
      <c r="CV183" s="256">
        <v>0.24</v>
      </c>
      <c r="CW183" s="256">
        <v>0.24</v>
      </c>
      <c r="CX183" s="256">
        <v>0.24</v>
      </c>
      <c r="CY183" s="254" t="s">
        <v>79</v>
      </c>
      <c r="CZ183" s="254" t="s">
        <v>79</v>
      </c>
      <c r="DA183" s="254" t="s">
        <v>79</v>
      </c>
      <c r="DB183" s="254" t="s">
        <v>79</v>
      </c>
      <c r="DC183" s="254" t="s">
        <v>79</v>
      </c>
      <c r="DD183" s="256">
        <v>0.1</v>
      </c>
      <c r="DE183" s="256">
        <v>0.12</v>
      </c>
      <c r="DF183" s="256">
        <v>0.2</v>
      </c>
      <c r="DG183" s="254" t="s">
        <v>79</v>
      </c>
      <c r="DH183" s="254" t="s">
        <v>79</v>
      </c>
      <c r="DI183" s="256">
        <v>0.1</v>
      </c>
      <c r="DJ183" s="256">
        <v>0.1</v>
      </c>
      <c r="DK183" s="256">
        <v>0.1</v>
      </c>
      <c r="DL183" s="256">
        <v>0.1</v>
      </c>
      <c r="DM183" s="256">
        <v>0.1</v>
      </c>
      <c r="DN183" s="256">
        <v>0.1</v>
      </c>
      <c r="DO183" s="205">
        <v>0.12</v>
      </c>
      <c r="DP183" s="205">
        <v>0.12</v>
      </c>
      <c r="DQ183" s="205">
        <v>0.12</v>
      </c>
      <c r="DR183" s="205">
        <v>0.12</v>
      </c>
      <c r="DS183" s="254" t="s">
        <v>79</v>
      </c>
      <c r="DT183" s="254" t="s">
        <v>79</v>
      </c>
      <c r="DV183" s="258"/>
    </row>
    <row r="184" spans="1:126" ht="30" customHeight="1" thickBot="1">
      <c r="A184" s="10"/>
      <c r="B184" s="10"/>
      <c r="C184" s="10"/>
      <c r="D184" s="10"/>
      <c r="E184" s="10"/>
      <c r="F184" s="10"/>
      <c r="G184" s="10"/>
      <c r="H184" s="10"/>
      <c r="I184" s="10"/>
      <c r="Q184" s="598"/>
      <c r="R184" s="31">
        <f t="shared" si="82"/>
        <v>0</v>
      </c>
      <c r="S184" s="31">
        <f t="shared" si="83"/>
        <v>0</v>
      </c>
      <c r="T184" s="31">
        <f t="shared" si="84"/>
        <v>0</v>
      </c>
      <c r="U184" s="31">
        <f t="shared" si="85"/>
        <v>0</v>
      </c>
      <c r="V184" s="31">
        <f t="shared" si="86"/>
        <v>0</v>
      </c>
      <c r="W184" s="31">
        <f t="shared" si="87"/>
        <v>0</v>
      </c>
      <c r="X184" s="31">
        <f t="shared" si="88"/>
        <v>0</v>
      </c>
      <c r="Y184" s="31">
        <f t="shared" si="89"/>
        <v>0</v>
      </c>
      <c r="Z184" s="31">
        <f t="shared" si="90"/>
        <v>0</v>
      </c>
      <c r="AA184" s="31">
        <f t="shared" si="91"/>
        <v>0</v>
      </c>
      <c r="AB184" s="31">
        <f t="shared" si="92"/>
        <v>0</v>
      </c>
      <c r="AC184" s="31">
        <f t="shared" si="93"/>
        <v>0</v>
      </c>
      <c r="AD184" s="31">
        <f t="shared" si="94"/>
        <v>0</v>
      </c>
      <c r="AE184" s="31">
        <f t="shared" si="95"/>
        <v>0</v>
      </c>
      <c r="AF184" s="31">
        <f t="shared" si="96"/>
        <v>0</v>
      </c>
      <c r="AG184" s="31">
        <f t="shared" si="97"/>
        <v>0</v>
      </c>
      <c r="AH184" s="31">
        <f t="shared" si="98"/>
        <v>0</v>
      </c>
      <c r="AI184" s="31">
        <f t="shared" si="99"/>
        <v>0</v>
      </c>
      <c r="AJ184" s="31">
        <f t="shared" si="100"/>
        <v>0</v>
      </c>
      <c r="AK184" s="31">
        <f t="shared" si="101"/>
        <v>0</v>
      </c>
      <c r="AL184" s="31">
        <f t="shared" si="102"/>
        <v>0</v>
      </c>
      <c r="AM184" s="31">
        <f t="shared" si="103"/>
        <v>0</v>
      </c>
      <c r="AN184" s="31">
        <f t="shared" si="104"/>
        <v>0</v>
      </c>
      <c r="AO184" s="31">
        <f t="shared" si="105"/>
        <v>0</v>
      </c>
      <c r="AP184" s="31">
        <f t="shared" si="106"/>
        <v>0</v>
      </c>
      <c r="AQ184" s="31">
        <f t="shared" si="107"/>
        <v>0</v>
      </c>
      <c r="AR184" s="31">
        <f t="shared" si="108"/>
        <v>0</v>
      </c>
      <c r="AS184" s="31">
        <f t="shared" si="109"/>
        <v>0</v>
      </c>
      <c r="AT184" s="31">
        <f t="shared" si="110"/>
        <v>0</v>
      </c>
      <c r="AU184" s="244">
        <f t="shared" si="111"/>
        <v>0</v>
      </c>
      <c r="CN184" s="596"/>
      <c r="CO184" s="259" t="s">
        <v>30</v>
      </c>
      <c r="CP184" s="260"/>
      <c r="CQ184" s="261"/>
      <c r="CR184" s="335">
        <v>0.1855</v>
      </c>
      <c r="CS184" s="270">
        <v>0.1855</v>
      </c>
      <c r="CT184" s="270">
        <v>0.1855</v>
      </c>
      <c r="CU184" s="270">
        <v>0.1855</v>
      </c>
      <c r="CV184" s="270">
        <v>0.261</v>
      </c>
      <c r="CW184" s="270">
        <v>0.261</v>
      </c>
      <c r="CX184" s="270">
        <v>0.261</v>
      </c>
      <c r="CY184" s="268" t="s">
        <v>79</v>
      </c>
      <c r="CZ184" s="268" t="s">
        <v>79</v>
      </c>
      <c r="DA184" s="268" t="s">
        <v>79</v>
      </c>
      <c r="DB184" s="268" t="s">
        <v>79</v>
      </c>
      <c r="DC184" s="268" t="s">
        <v>79</v>
      </c>
      <c r="DD184" s="270">
        <v>0.14600000000000002</v>
      </c>
      <c r="DE184" s="270">
        <v>0.17200000000000001</v>
      </c>
      <c r="DF184" s="270">
        <v>0.24600000000000005</v>
      </c>
      <c r="DG184" s="268" t="s">
        <v>79</v>
      </c>
      <c r="DH184" s="268" t="s">
        <v>79</v>
      </c>
      <c r="DI184" s="336">
        <v>0.15</v>
      </c>
      <c r="DJ184" s="336">
        <v>0.15</v>
      </c>
      <c r="DK184" s="336">
        <v>0.15</v>
      </c>
      <c r="DL184" s="336">
        <v>0.15</v>
      </c>
      <c r="DM184" s="336">
        <v>0.15</v>
      </c>
      <c r="DN184" s="336">
        <v>0.15</v>
      </c>
      <c r="DO184" s="285">
        <v>0.19</v>
      </c>
      <c r="DP184" s="285">
        <v>0.19</v>
      </c>
      <c r="DQ184" s="285">
        <v>0.19</v>
      </c>
      <c r="DR184" s="285">
        <v>0.19</v>
      </c>
      <c r="DS184" s="268" t="s">
        <v>79</v>
      </c>
      <c r="DT184" s="268" t="s">
        <v>79</v>
      </c>
      <c r="DV184" s="274"/>
    </row>
    <row r="185" spans="17:126" ht="23.25" thickBot="1">
      <c r="Q185" s="598"/>
      <c r="R185" s="31">
        <f t="shared" si="82"/>
        <v>0</v>
      </c>
      <c r="S185" s="31">
        <f t="shared" si="83"/>
        <v>0</v>
      </c>
      <c r="T185" s="31">
        <f t="shared" si="84"/>
        <v>0</v>
      </c>
      <c r="U185" s="31">
        <f t="shared" si="85"/>
        <v>0</v>
      </c>
      <c r="V185" s="31">
        <f t="shared" si="86"/>
        <v>0</v>
      </c>
      <c r="W185" s="31">
        <f t="shared" si="87"/>
        <v>0</v>
      </c>
      <c r="X185" s="31">
        <f t="shared" si="88"/>
        <v>0</v>
      </c>
      <c r="Y185" s="31">
        <f t="shared" si="89"/>
        <v>0</v>
      </c>
      <c r="Z185" s="31">
        <f t="shared" si="90"/>
        <v>0</v>
      </c>
      <c r="AA185" s="31">
        <f t="shared" si="91"/>
        <v>0</v>
      </c>
      <c r="AB185" s="31">
        <f t="shared" si="92"/>
        <v>0</v>
      </c>
      <c r="AC185" s="31">
        <f t="shared" si="93"/>
        <v>0</v>
      </c>
      <c r="AD185" s="31">
        <f t="shared" si="94"/>
        <v>0</v>
      </c>
      <c r="AE185" s="31">
        <f t="shared" si="95"/>
        <v>0</v>
      </c>
      <c r="AF185" s="31">
        <f t="shared" si="96"/>
        <v>0</v>
      </c>
      <c r="AG185" s="31">
        <f t="shared" si="97"/>
        <v>0</v>
      </c>
      <c r="AH185" s="31">
        <f t="shared" si="98"/>
        <v>0</v>
      </c>
      <c r="AI185" s="31">
        <f t="shared" si="99"/>
        <v>0</v>
      </c>
      <c r="AJ185" s="31">
        <f t="shared" si="100"/>
        <v>0</v>
      </c>
      <c r="AK185" s="31">
        <f t="shared" si="101"/>
        <v>0</v>
      </c>
      <c r="AL185" s="31">
        <f t="shared" si="102"/>
        <v>0</v>
      </c>
      <c r="AM185" s="31">
        <f t="shared" si="103"/>
        <v>0</v>
      </c>
      <c r="AN185" s="31">
        <f t="shared" si="104"/>
        <v>0</v>
      </c>
      <c r="AO185" s="31">
        <f t="shared" si="105"/>
        <v>0</v>
      </c>
      <c r="AP185" s="31">
        <f t="shared" si="106"/>
        <v>0</v>
      </c>
      <c r="AQ185" s="31">
        <f t="shared" si="107"/>
        <v>0</v>
      </c>
      <c r="AR185" s="31">
        <f t="shared" si="108"/>
        <v>0</v>
      </c>
      <c r="AS185" s="31">
        <f t="shared" si="109"/>
        <v>0</v>
      </c>
      <c r="AT185" s="31">
        <f t="shared" si="110"/>
        <v>0</v>
      </c>
      <c r="AU185" s="244">
        <f t="shared" si="111"/>
        <v>0</v>
      </c>
      <c r="CN185" s="596"/>
      <c r="CO185" s="259" t="s">
        <v>31</v>
      </c>
      <c r="CP185" s="260"/>
      <c r="CQ185" s="261"/>
      <c r="CR185" s="335">
        <v>0.33</v>
      </c>
      <c r="CS185" s="270">
        <v>0.33</v>
      </c>
      <c r="CT185" s="270">
        <v>0.33</v>
      </c>
      <c r="CU185" s="270">
        <v>0.33</v>
      </c>
      <c r="CV185" s="270">
        <v>0.38</v>
      </c>
      <c r="CW185" s="270">
        <v>0.38</v>
      </c>
      <c r="CX185" s="270">
        <v>0.38</v>
      </c>
      <c r="CY185" s="268" t="s">
        <v>79</v>
      </c>
      <c r="CZ185" s="268" t="s">
        <v>79</v>
      </c>
      <c r="DA185" s="268" t="s">
        <v>79</v>
      </c>
      <c r="DB185" s="268" t="s">
        <v>79</v>
      </c>
      <c r="DC185" s="268" t="s">
        <v>79</v>
      </c>
      <c r="DD185" s="270">
        <v>0.33</v>
      </c>
      <c r="DE185" s="270">
        <v>0.38</v>
      </c>
      <c r="DF185" s="270">
        <v>0.43</v>
      </c>
      <c r="DG185" s="268" t="s">
        <v>79</v>
      </c>
      <c r="DH185" s="268" t="s">
        <v>79</v>
      </c>
      <c r="DI185" s="270">
        <v>0.3</v>
      </c>
      <c r="DJ185" s="270">
        <v>0.3</v>
      </c>
      <c r="DK185" s="270">
        <v>0.3</v>
      </c>
      <c r="DL185" s="270">
        <v>0.3</v>
      </c>
      <c r="DM185" s="270">
        <v>0.3</v>
      </c>
      <c r="DN185" s="270">
        <v>0.3</v>
      </c>
      <c r="DO185" s="285">
        <v>0.4</v>
      </c>
      <c r="DP185" s="285">
        <v>0.4</v>
      </c>
      <c r="DQ185" s="285">
        <v>0.4</v>
      </c>
      <c r="DR185" s="285">
        <v>0.4</v>
      </c>
      <c r="DS185" s="268" t="s">
        <v>79</v>
      </c>
      <c r="DT185" s="268" t="s">
        <v>79</v>
      </c>
      <c r="DV185" s="274"/>
    </row>
    <row r="186" spans="17:126" ht="23.25" thickBot="1">
      <c r="Q186" s="598"/>
      <c r="R186" s="31">
        <f t="shared" si="82"/>
        <v>0</v>
      </c>
      <c r="S186" s="31">
        <f t="shared" si="83"/>
        <v>0</v>
      </c>
      <c r="T186" s="31">
        <f t="shared" si="84"/>
        <v>0</v>
      </c>
      <c r="U186" s="31">
        <f t="shared" si="85"/>
        <v>0</v>
      </c>
      <c r="V186" s="31">
        <f t="shared" si="86"/>
        <v>0</v>
      </c>
      <c r="W186" s="31">
        <f t="shared" si="87"/>
        <v>0</v>
      </c>
      <c r="X186" s="31">
        <f t="shared" si="88"/>
        <v>0</v>
      </c>
      <c r="Y186" s="31">
        <f t="shared" si="89"/>
        <v>0</v>
      </c>
      <c r="Z186" s="31">
        <f t="shared" si="90"/>
        <v>0</v>
      </c>
      <c r="AA186" s="31">
        <f t="shared" si="91"/>
        <v>0</v>
      </c>
      <c r="AB186" s="31">
        <f t="shared" si="92"/>
        <v>0</v>
      </c>
      <c r="AC186" s="31">
        <f t="shared" si="93"/>
        <v>0</v>
      </c>
      <c r="AD186" s="31">
        <f t="shared" si="94"/>
        <v>0</v>
      </c>
      <c r="AE186" s="31">
        <f t="shared" si="95"/>
        <v>0</v>
      </c>
      <c r="AF186" s="31">
        <f t="shared" si="96"/>
        <v>0</v>
      </c>
      <c r="AG186" s="31">
        <f t="shared" si="97"/>
        <v>0</v>
      </c>
      <c r="AH186" s="31">
        <f t="shared" si="98"/>
        <v>0</v>
      </c>
      <c r="AI186" s="31">
        <f t="shared" si="99"/>
        <v>0</v>
      </c>
      <c r="AJ186" s="31">
        <f t="shared" si="100"/>
        <v>0</v>
      </c>
      <c r="AK186" s="31">
        <f t="shared" si="101"/>
        <v>0</v>
      </c>
      <c r="AL186" s="31">
        <f t="shared" si="102"/>
        <v>0</v>
      </c>
      <c r="AM186" s="31">
        <f t="shared" si="103"/>
        <v>0</v>
      </c>
      <c r="AN186" s="31">
        <f t="shared" si="104"/>
        <v>0</v>
      </c>
      <c r="AO186" s="31">
        <f t="shared" si="105"/>
        <v>0</v>
      </c>
      <c r="AP186" s="31">
        <f t="shared" si="106"/>
        <v>0</v>
      </c>
      <c r="AQ186" s="31">
        <f t="shared" si="107"/>
        <v>0</v>
      </c>
      <c r="AR186" s="31">
        <f t="shared" si="108"/>
        <v>0</v>
      </c>
      <c r="AS186" s="31">
        <f t="shared" si="109"/>
        <v>0</v>
      </c>
      <c r="AT186" s="31">
        <f t="shared" si="110"/>
        <v>0</v>
      </c>
      <c r="AU186" s="244">
        <f t="shared" si="111"/>
        <v>0</v>
      </c>
      <c r="CN186" s="596"/>
      <c r="CO186" s="259" t="s">
        <v>32</v>
      </c>
      <c r="CP186" s="276"/>
      <c r="CQ186" s="261"/>
      <c r="CR186" s="335">
        <v>2</v>
      </c>
      <c r="CS186" s="270">
        <v>2</v>
      </c>
      <c r="CT186" s="270">
        <v>2</v>
      </c>
      <c r="CU186" s="270">
        <v>2</v>
      </c>
      <c r="CV186" s="270">
        <v>2</v>
      </c>
      <c r="CW186" s="270">
        <v>2</v>
      </c>
      <c r="CX186" s="270">
        <v>2</v>
      </c>
      <c r="CY186" s="268" t="s">
        <v>79</v>
      </c>
      <c r="CZ186" s="268" t="s">
        <v>79</v>
      </c>
      <c r="DA186" s="268" t="s">
        <v>79</v>
      </c>
      <c r="DB186" s="268" t="s">
        <v>79</v>
      </c>
      <c r="DC186" s="268" t="s">
        <v>79</v>
      </c>
      <c r="DD186" s="270">
        <v>2</v>
      </c>
      <c r="DE186" s="270">
        <v>2</v>
      </c>
      <c r="DF186" s="270">
        <v>2</v>
      </c>
      <c r="DG186" s="268" t="s">
        <v>79</v>
      </c>
      <c r="DH186" s="268" t="s">
        <v>79</v>
      </c>
      <c r="DI186" s="270">
        <v>2</v>
      </c>
      <c r="DJ186" s="270">
        <v>2</v>
      </c>
      <c r="DK186" s="270">
        <v>2</v>
      </c>
      <c r="DL186" s="270">
        <v>2</v>
      </c>
      <c r="DM186" s="270">
        <v>2</v>
      </c>
      <c r="DN186" s="270">
        <v>2</v>
      </c>
      <c r="DO186" s="285">
        <v>2</v>
      </c>
      <c r="DP186" s="285">
        <v>2</v>
      </c>
      <c r="DQ186" s="285">
        <v>2</v>
      </c>
      <c r="DR186" s="285">
        <v>2</v>
      </c>
      <c r="DS186" s="268" t="s">
        <v>79</v>
      </c>
      <c r="DT186" s="268" t="s">
        <v>79</v>
      </c>
      <c r="DV186" s="274"/>
    </row>
    <row r="187" spans="17:126" ht="15.75" thickBot="1">
      <c r="Q187" s="598"/>
      <c r="R187" s="31">
        <f t="shared" si="82"/>
        <v>0</v>
      </c>
      <c r="S187" s="31">
        <f t="shared" si="83"/>
        <v>0</v>
      </c>
      <c r="T187" s="31">
        <f t="shared" si="84"/>
        <v>0</v>
      </c>
      <c r="U187" s="31">
        <f t="shared" si="85"/>
        <v>0</v>
      </c>
      <c r="V187" s="31">
        <f t="shared" si="86"/>
        <v>0</v>
      </c>
      <c r="W187" s="31">
        <f t="shared" si="87"/>
        <v>0</v>
      </c>
      <c r="X187" s="31">
        <f t="shared" si="88"/>
        <v>0</v>
      </c>
      <c r="Y187" s="31">
        <f t="shared" si="89"/>
        <v>0</v>
      </c>
      <c r="Z187" s="31">
        <f t="shared" si="90"/>
        <v>0</v>
      </c>
      <c r="AA187" s="31">
        <f t="shared" si="91"/>
        <v>0</v>
      </c>
      <c r="AB187" s="31">
        <f t="shared" si="92"/>
        <v>0</v>
      </c>
      <c r="AC187" s="31">
        <f t="shared" si="93"/>
        <v>0</v>
      </c>
      <c r="AD187" s="31">
        <f t="shared" si="94"/>
        <v>0</v>
      </c>
      <c r="AE187" s="31">
        <f t="shared" si="95"/>
        <v>0</v>
      </c>
      <c r="AF187" s="31">
        <f t="shared" si="96"/>
        <v>0</v>
      </c>
      <c r="AG187" s="31">
        <f t="shared" si="97"/>
        <v>0</v>
      </c>
      <c r="AH187" s="31">
        <f t="shared" si="98"/>
        <v>0</v>
      </c>
      <c r="AI187" s="31">
        <f t="shared" si="99"/>
        <v>0</v>
      </c>
      <c r="AJ187" s="31">
        <f t="shared" si="100"/>
        <v>0</v>
      </c>
      <c r="AK187" s="31">
        <f t="shared" si="101"/>
        <v>0</v>
      </c>
      <c r="AL187" s="31">
        <f t="shared" si="102"/>
        <v>0</v>
      </c>
      <c r="AM187" s="31">
        <f t="shared" si="103"/>
        <v>0</v>
      </c>
      <c r="AN187" s="31">
        <f t="shared" si="104"/>
        <v>0</v>
      </c>
      <c r="AO187" s="31">
        <f t="shared" si="105"/>
        <v>0</v>
      </c>
      <c r="AP187" s="31">
        <f t="shared" si="106"/>
        <v>0</v>
      </c>
      <c r="AQ187" s="31">
        <f t="shared" si="107"/>
        <v>0</v>
      </c>
      <c r="AR187" s="31">
        <f t="shared" si="108"/>
        <v>0</v>
      </c>
      <c r="AS187" s="31">
        <f t="shared" si="109"/>
        <v>0</v>
      </c>
      <c r="AT187" s="31">
        <f t="shared" si="110"/>
        <v>0</v>
      </c>
      <c r="AU187" s="244">
        <f t="shared" si="111"/>
        <v>0</v>
      </c>
      <c r="CN187" s="596"/>
      <c r="CO187" s="259" t="s">
        <v>33</v>
      </c>
      <c r="CP187" s="246"/>
      <c r="CQ187" s="261"/>
      <c r="CR187" s="335">
        <v>0.33</v>
      </c>
      <c r="CS187" s="270">
        <v>0.33</v>
      </c>
      <c r="CT187" s="270">
        <v>0.33</v>
      </c>
      <c r="CU187" s="270">
        <v>0.33</v>
      </c>
      <c r="CV187" s="270">
        <v>0.38</v>
      </c>
      <c r="CW187" s="270">
        <v>0.38</v>
      </c>
      <c r="CX187" s="270">
        <v>0.38</v>
      </c>
      <c r="CY187" s="268" t="s">
        <v>79</v>
      </c>
      <c r="CZ187" s="268" t="s">
        <v>79</v>
      </c>
      <c r="DA187" s="268" t="s">
        <v>79</v>
      </c>
      <c r="DB187" s="268" t="s">
        <v>79</v>
      </c>
      <c r="DC187" s="268" t="s">
        <v>79</v>
      </c>
      <c r="DD187" s="270">
        <v>0.33</v>
      </c>
      <c r="DE187" s="270">
        <v>0.38</v>
      </c>
      <c r="DF187" s="270">
        <v>0.43</v>
      </c>
      <c r="DG187" s="268" t="s">
        <v>79</v>
      </c>
      <c r="DH187" s="268" t="s">
        <v>79</v>
      </c>
      <c r="DI187" s="270">
        <v>0.3</v>
      </c>
      <c r="DJ187" s="270">
        <v>0.3</v>
      </c>
      <c r="DK187" s="270">
        <v>0.3</v>
      </c>
      <c r="DL187" s="270">
        <v>0.3</v>
      </c>
      <c r="DM187" s="270">
        <v>0.3</v>
      </c>
      <c r="DN187" s="270">
        <v>0.3</v>
      </c>
      <c r="DO187" s="285">
        <v>0.4</v>
      </c>
      <c r="DP187" s="285">
        <v>0.4</v>
      </c>
      <c r="DQ187" s="285">
        <v>0.4</v>
      </c>
      <c r="DR187" s="285">
        <v>0.4</v>
      </c>
      <c r="DS187" s="268" t="s">
        <v>79</v>
      </c>
      <c r="DT187" s="268" t="s">
        <v>79</v>
      </c>
      <c r="DV187" s="274"/>
    </row>
    <row r="188" spans="17:126" ht="15.75" thickBot="1">
      <c r="Q188" s="610"/>
      <c r="R188" s="31">
        <f t="shared" si="82"/>
        <v>0</v>
      </c>
      <c r="S188" s="31">
        <f t="shared" si="83"/>
        <v>0</v>
      </c>
      <c r="T188" s="31">
        <f t="shared" si="84"/>
        <v>0</v>
      </c>
      <c r="U188" s="31">
        <f t="shared" si="85"/>
        <v>0</v>
      </c>
      <c r="V188" s="31">
        <f t="shared" si="86"/>
        <v>0</v>
      </c>
      <c r="W188" s="31">
        <f t="shared" si="87"/>
        <v>0</v>
      </c>
      <c r="X188" s="31">
        <f t="shared" si="88"/>
        <v>0</v>
      </c>
      <c r="Y188" s="31">
        <f t="shared" si="89"/>
        <v>0</v>
      </c>
      <c r="Z188" s="31">
        <f t="shared" si="90"/>
        <v>0</v>
      </c>
      <c r="AA188" s="31">
        <f t="shared" si="91"/>
        <v>0</v>
      </c>
      <c r="AB188" s="31">
        <f t="shared" si="92"/>
        <v>0</v>
      </c>
      <c r="AC188" s="31">
        <f t="shared" si="93"/>
        <v>0</v>
      </c>
      <c r="AD188" s="31">
        <f t="shared" si="94"/>
        <v>0</v>
      </c>
      <c r="AE188" s="31">
        <f t="shared" si="95"/>
        <v>0</v>
      </c>
      <c r="AF188" s="31">
        <f t="shared" si="96"/>
        <v>0</v>
      </c>
      <c r="AG188" s="31">
        <f t="shared" si="97"/>
        <v>0</v>
      </c>
      <c r="AH188" s="31">
        <f t="shared" si="98"/>
        <v>0</v>
      </c>
      <c r="AI188" s="31">
        <f t="shared" si="99"/>
        <v>0</v>
      </c>
      <c r="AJ188" s="31">
        <f t="shared" si="100"/>
        <v>0</v>
      </c>
      <c r="AK188" s="31">
        <f t="shared" si="101"/>
        <v>0</v>
      </c>
      <c r="AL188" s="31">
        <f t="shared" si="102"/>
        <v>0</v>
      </c>
      <c r="AM188" s="31">
        <f t="shared" si="103"/>
        <v>0</v>
      </c>
      <c r="AN188" s="31">
        <f t="shared" si="104"/>
        <v>0</v>
      </c>
      <c r="AO188" s="31">
        <f t="shared" si="105"/>
        <v>0</v>
      </c>
      <c r="AP188" s="31">
        <f t="shared" si="106"/>
        <v>0</v>
      </c>
      <c r="AQ188" s="31">
        <f t="shared" si="107"/>
        <v>0</v>
      </c>
      <c r="AR188" s="31">
        <f t="shared" si="108"/>
        <v>0</v>
      </c>
      <c r="AS188" s="31">
        <f t="shared" si="109"/>
        <v>0</v>
      </c>
      <c r="AT188" s="31">
        <f t="shared" si="110"/>
        <v>0</v>
      </c>
      <c r="AU188" s="244">
        <f t="shared" si="111"/>
        <v>0</v>
      </c>
      <c r="CN188" s="596"/>
      <c r="CO188" s="259" t="s">
        <v>34</v>
      </c>
      <c r="CP188" s="260"/>
      <c r="CQ188" s="261"/>
      <c r="CR188" s="335">
        <v>0.025</v>
      </c>
      <c r="CS188" s="270">
        <v>0.025</v>
      </c>
      <c r="CT188" s="270">
        <v>0.025</v>
      </c>
      <c r="CU188" s="270">
        <v>0.025</v>
      </c>
      <c r="CV188" s="270">
        <v>0.03</v>
      </c>
      <c r="CW188" s="270">
        <v>0.03</v>
      </c>
      <c r="CX188" s="270">
        <v>0.03</v>
      </c>
      <c r="CY188" s="268" t="s">
        <v>79</v>
      </c>
      <c r="CZ188" s="268" t="s">
        <v>79</v>
      </c>
      <c r="DA188" s="268" t="s">
        <v>79</v>
      </c>
      <c r="DB188" s="268" t="s">
        <v>79</v>
      </c>
      <c r="DC188" s="268" t="s">
        <v>79</v>
      </c>
      <c r="DD188" s="270">
        <v>0.025</v>
      </c>
      <c r="DE188" s="270">
        <v>0.025</v>
      </c>
      <c r="DF188" s="270">
        <v>0.03</v>
      </c>
      <c r="DG188" s="268" t="s">
        <v>79</v>
      </c>
      <c r="DH188" s="268" t="s">
        <v>79</v>
      </c>
      <c r="DI188" s="270">
        <v>0.025</v>
      </c>
      <c r="DJ188" s="270">
        <v>0.025</v>
      </c>
      <c r="DK188" s="270">
        <v>0.025</v>
      </c>
      <c r="DL188" s="270">
        <v>0.025</v>
      </c>
      <c r="DM188" s="270">
        <v>0.025</v>
      </c>
      <c r="DN188" s="270">
        <v>0.025</v>
      </c>
      <c r="DO188" s="285">
        <v>0.025</v>
      </c>
      <c r="DP188" s="285">
        <v>0.025</v>
      </c>
      <c r="DQ188" s="285">
        <v>0.025</v>
      </c>
      <c r="DR188" s="285">
        <v>0.025</v>
      </c>
      <c r="DS188" s="268" t="s">
        <v>79</v>
      </c>
      <c r="DT188" s="268" t="s">
        <v>79</v>
      </c>
      <c r="DV188" s="274"/>
    </row>
    <row r="189" spans="17:126" ht="25.5" customHeight="1" thickBot="1">
      <c r="Q189" s="598" t="s">
        <v>69</v>
      </c>
      <c r="R189" s="31">
        <f t="shared" si="82"/>
        <v>0</v>
      </c>
      <c r="S189" s="31">
        <f t="shared" si="83"/>
        <v>0</v>
      </c>
      <c r="T189" s="31">
        <f t="shared" si="84"/>
        <v>0</v>
      </c>
      <c r="U189" s="31">
        <f t="shared" si="85"/>
        <v>0</v>
      </c>
      <c r="V189" s="31">
        <f t="shared" si="86"/>
        <v>0</v>
      </c>
      <c r="W189" s="31">
        <f t="shared" si="87"/>
        <v>0</v>
      </c>
      <c r="X189" s="31">
        <f t="shared" si="88"/>
        <v>0</v>
      </c>
      <c r="Y189" s="31">
        <f t="shared" si="89"/>
        <v>0</v>
      </c>
      <c r="Z189" s="31">
        <f t="shared" si="90"/>
        <v>0</v>
      </c>
      <c r="AA189" s="31">
        <f t="shared" si="91"/>
        <v>0</v>
      </c>
      <c r="AB189" s="31">
        <f t="shared" si="92"/>
        <v>0</v>
      </c>
      <c r="AC189" s="31">
        <f t="shared" si="93"/>
        <v>0</v>
      </c>
      <c r="AD189" s="31">
        <f t="shared" si="94"/>
        <v>0</v>
      </c>
      <c r="AE189" s="31">
        <f t="shared" si="95"/>
        <v>0</v>
      </c>
      <c r="AF189" s="31">
        <f t="shared" si="96"/>
        <v>0</v>
      </c>
      <c r="AG189" s="31">
        <f t="shared" si="97"/>
        <v>0</v>
      </c>
      <c r="AH189" s="31">
        <f t="shared" si="98"/>
        <v>0</v>
      </c>
      <c r="AI189" s="31">
        <f t="shared" si="99"/>
        <v>0</v>
      </c>
      <c r="AJ189" s="31">
        <f t="shared" si="100"/>
        <v>0</v>
      </c>
      <c r="AK189" s="31">
        <f t="shared" si="101"/>
        <v>0</v>
      </c>
      <c r="AL189" s="31">
        <f t="shared" si="102"/>
        <v>0</v>
      </c>
      <c r="AM189" s="31">
        <f t="shared" si="103"/>
        <v>0</v>
      </c>
      <c r="AN189" s="31">
        <f t="shared" si="104"/>
        <v>0</v>
      </c>
      <c r="AO189" s="31">
        <f t="shared" si="105"/>
        <v>0</v>
      </c>
      <c r="AP189" s="31">
        <f t="shared" si="106"/>
        <v>0</v>
      </c>
      <c r="AQ189" s="31">
        <f t="shared" si="107"/>
        <v>0</v>
      </c>
      <c r="AR189" s="31">
        <f t="shared" si="108"/>
        <v>0</v>
      </c>
      <c r="AS189" s="31">
        <f t="shared" si="109"/>
        <v>0</v>
      </c>
      <c r="AT189" s="31">
        <f t="shared" si="110"/>
        <v>0</v>
      </c>
      <c r="AU189" s="244">
        <f t="shared" si="111"/>
        <v>0</v>
      </c>
      <c r="CN189" s="595" t="s">
        <v>69</v>
      </c>
      <c r="CO189" s="277" t="s">
        <v>35</v>
      </c>
      <c r="CP189" s="246"/>
      <c r="CQ189" s="261"/>
      <c r="CR189" s="335">
        <v>0.30400000000000005</v>
      </c>
      <c r="CS189" s="270">
        <v>0.34400000000000003</v>
      </c>
      <c r="CT189" s="270" t="s">
        <v>71</v>
      </c>
      <c r="CU189" s="270">
        <v>0</v>
      </c>
      <c r="CV189" s="270">
        <v>0.33</v>
      </c>
      <c r="CW189" s="270">
        <v>0.33</v>
      </c>
      <c r="CX189" s="270">
        <v>0.33</v>
      </c>
      <c r="CY189" s="268" t="s">
        <v>79</v>
      </c>
      <c r="CZ189" s="268" t="s">
        <v>79</v>
      </c>
      <c r="DA189" s="268" t="s">
        <v>79</v>
      </c>
      <c r="DB189" s="268" t="s">
        <v>79</v>
      </c>
      <c r="DC189" s="268" t="s">
        <v>79</v>
      </c>
      <c r="DD189" s="270">
        <v>0.264</v>
      </c>
      <c r="DE189" s="270">
        <v>0.30400000000000005</v>
      </c>
      <c r="DF189" s="270">
        <v>0.34400000000000003</v>
      </c>
      <c r="DG189" s="268" t="s">
        <v>79</v>
      </c>
      <c r="DH189" s="268" t="s">
        <v>79</v>
      </c>
      <c r="DI189" s="270">
        <v>0.24</v>
      </c>
      <c r="DJ189" s="270">
        <v>0.24</v>
      </c>
      <c r="DK189" s="270">
        <v>0.24</v>
      </c>
      <c r="DL189" s="270">
        <v>0.24</v>
      </c>
      <c r="DM189" s="270">
        <v>0.24</v>
      </c>
      <c r="DN189" s="270">
        <v>0.24</v>
      </c>
      <c r="DO189" s="285">
        <v>0.32</v>
      </c>
      <c r="DP189" s="285">
        <v>0.32</v>
      </c>
      <c r="DQ189" s="285">
        <v>0.32</v>
      </c>
      <c r="DR189" s="285">
        <v>0.32</v>
      </c>
      <c r="DS189" s="268" t="s">
        <v>79</v>
      </c>
      <c r="DT189" s="268" t="s">
        <v>79</v>
      </c>
      <c r="DV189" s="274"/>
    </row>
    <row r="190" spans="17:126" ht="45.75" thickBot="1">
      <c r="Q190" s="598"/>
      <c r="R190" s="31">
        <f t="shared" si="82"/>
        <v>0</v>
      </c>
      <c r="S190" s="31">
        <f t="shared" si="83"/>
        <v>0</v>
      </c>
      <c r="T190" s="31">
        <f t="shared" si="84"/>
        <v>0</v>
      </c>
      <c r="U190" s="31">
        <f t="shared" si="85"/>
        <v>0</v>
      </c>
      <c r="V190" s="31">
        <f t="shared" si="86"/>
        <v>0</v>
      </c>
      <c r="W190" s="31">
        <f t="shared" si="87"/>
        <v>0</v>
      </c>
      <c r="X190" s="31">
        <f t="shared" si="88"/>
        <v>0</v>
      </c>
      <c r="Y190" s="31">
        <f t="shared" si="89"/>
        <v>0</v>
      </c>
      <c r="Z190" s="31">
        <f t="shared" si="90"/>
        <v>0</v>
      </c>
      <c r="AA190" s="31">
        <f t="shared" si="91"/>
        <v>0</v>
      </c>
      <c r="AB190" s="31">
        <f t="shared" si="92"/>
        <v>0</v>
      </c>
      <c r="AC190" s="31">
        <f t="shared" si="93"/>
        <v>0</v>
      </c>
      <c r="AD190" s="31">
        <f t="shared" si="94"/>
        <v>0</v>
      </c>
      <c r="AE190" s="31">
        <f t="shared" si="95"/>
        <v>0</v>
      </c>
      <c r="AF190" s="31">
        <f t="shared" si="96"/>
        <v>0</v>
      </c>
      <c r="AG190" s="31">
        <f t="shared" si="97"/>
        <v>0</v>
      </c>
      <c r="AH190" s="31">
        <f t="shared" si="98"/>
        <v>0</v>
      </c>
      <c r="AI190" s="31">
        <f t="shared" si="99"/>
        <v>0</v>
      </c>
      <c r="AJ190" s="31">
        <f t="shared" si="100"/>
        <v>0</v>
      </c>
      <c r="AK190" s="31">
        <f t="shared" si="101"/>
        <v>0</v>
      </c>
      <c r="AL190" s="31">
        <f t="shared" si="102"/>
        <v>0</v>
      </c>
      <c r="AM190" s="31">
        <f t="shared" si="103"/>
        <v>0</v>
      </c>
      <c r="AN190" s="31">
        <f t="shared" si="104"/>
        <v>0</v>
      </c>
      <c r="AO190" s="31">
        <f t="shared" si="105"/>
        <v>0</v>
      </c>
      <c r="AP190" s="31">
        <f t="shared" si="106"/>
        <v>0</v>
      </c>
      <c r="AQ190" s="31">
        <f t="shared" si="107"/>
        <v>0</v>
      </c>
      <c r="AR190" s="31">
        <f t="shared" si="108"/>
        <v>0</v>
      </c>
      <c r="AS190" s="31">
        <f t="shared" si="109"/>
        <v>0</v>
      </c>
      <c r="AT190" s="31">
        <f t="shared" si="110"/>
        <v>0</v>
      </c>
      <c r="AU190" s="244">
        <f t="shared" si="111"/>
        <v>0</v>
      </c>
      <c r="CN190" s="596"/>
      <c r="CO190" s="259" t="s">
        <v>36</v>
      </c>
      <c r="CP190" s="260"/>
      <c r="CQ190" s="261"/>
      <c r="CR190" s="335">
        <v>0.404</v>
      </c>
      <c r="CS190" s="270">
        <v>0.44400000000000006</v>
      </c>
      <c r="CT190" s="270" t="s">
        <v>71</v>
      </c>
      <c r="CU190" s="270">
        <v>0</v>
      </c>
      <c r="CV190" s="270">
        <v>0.43</v>
      </c>
      <c r="CW190" s="270">
        <v>0.43</v>
      </c>
      <c r="CX190" s="270">
        <v>0.43</v>
      </c>
      <c r="CY190" s="268" t="s">
        <v>79</v>
      </c>
      <c r="CZ190" s="268" t="s">
        <v>79</v>
      </c>
      <c r="DA190" s="268" t="s">
        <v>79</v>
      </c>
      <c r="DB190" s="268" t="s">
        <v>79</v>
      </c>
      <c r="DC190" s="268" t="s">
        <v>79</v>
      </c>
      <c r="DD190" s="270">
        <v>0.364</v>
      </c>
      <c r="DE190" s="270">
        <v>0.404</v>
      </c>
      <c r="DF190" s="270">
        <v>0.44400000000000006</v>
      </c>
      <c r="DG190" s="268" t="s">
        <v>79</v>
      </c>
      <c r="DH190" s="268" t="s">
        <v>79</v>
      </c>
      <c r="DI190" s="270">
        <v>0.34</v>
      </c>
      <c r="DJ190" s="270">
        <v>0.34</v>
      </c>
      <c r="DK190" s="270">
        <v>0.34</v>
      </c>
      <c r="DL190" s="270">
        <v>0.34</v>
      </c>
      <c r="DM190" s="270">
        <v>0.34</v>
      </c>
      <c r="DN190" s="270">
        <v>0.34</v>
      </c>
      <c r="DO190" s="285">
        <v>0.42</v>
      </c>
      <c r="DP190" s="285">
        <v>0.42</v>
      </c>
      <c r="DQ190" s="285">
        <v>0.42</v>
      </c>
      <c r="DR190" s="285">
        <v>0.42</v>
      </c>
      <c r="DS190" s="268" t="s">
        <v>79</v>
      </c>
      <c r="DT190" s="268" t="s">
        <v>79</v>
      </c>
      <c r="DV190" s="274"/>
    </row>
    <row r="191" spans="17:126" ht="45.75" thickBot="1">
      <c r="Q191" s="598"/>
      <c r="R191" s="31">
        <f t="shared" si="82"/>
        <v>0</v>
      </c>
      <c r="S191" s="31">
        <f t="shared" si="83"/>
        <v>0</v>
      </c>
      <c r="T191" s="31">
        <f t="shared" si="84"/>
        <v>0</v>
      </c>
      <c r="U191" s="31">
        <f t="shared" si="85"/>
        <v>0</v>
      </c>
      <c r="V191" s="31">
        <f t="shared" si="86"/>
        <v>0</v>
      </c>
      <c r="W191" s="31">
        <f t="shared" si="87"/>
        <v>0</v>
      </c>
      <c r="X191" s="31">
        <f t="shared" si="88"/>
        <v>0</v>
      </c>
      <c r="Y191" s="31">
        <f t="shared" si="89"/>
        <v>0</v>
      </c>
      <c r="Z191" s="31">
        <f t="shared" si="90"/>
        <v>0</v>
      </c>
      <c r="AA191" s="31">
        <f t="shared" si="91"/>
        <v>0</v>
      </c>
      <c r="AB191" s="31">
        <f t="shared" si="92"/>
        <v>0</v>
      </c>
      <c r="AC191" s="31">
        <f t="shared" si="93"/>
        <v>0</v>
      </c>
      <c r="AD191" s="31">
        <f t="shared" si="94"/>
        <v>0</v>
      </c>
      <c r="AE191" s="31">
        <f t="shared" si="95"/>
        <v>0</v>
      </c>
      <c r="AF191" s="31">
        <f t="shared" si="96"/>
        <v>0</v>
      </c>
      <c r="AG191" s="31">
        <f t="shared" si="97"/>
        <v>0</v>
      </c>
      <c r="AH191" s="31">
        <f t="shared" si="98"/>
        <v>0</v>
      </c>
      <c r="AI191" s="31">
        <f t="shared" si="99"/>
        <v>0</v>
      </c>
      <c r="AJ191" s="31">
        <f t="shared" si="100"/>
        <v>0</v>
      </c>
      <c r="AK191" s="31">
        <f t="shared" si="101"/>
        <v>0</v>
      </c>
      <c r="AL191" s="31">
        <f t="shared" si="102"/>
        <v>0</v>
      </c>
      <c r="AM191" s="31">
        <f t="shared" si="103"/>
        <v>0</v>
      </c>
      <c r="AN191" s="31">
        <f t="shared" si="104"/>
        <v>0</v>
      </c>
      <c r="AO191" s="31">
        <f t="shared" si="105"/>
        <v>0</v>
      </c>
      <c r="AP191" s="31">
        <f t="shared" si="106"/>
        <v>0</v>
      </c>
      <c r="AQ191" s="31">
        <f t="shared" si="107"/>
        <v>0</v>
      </c>
      <c r="AR191" s="31">
        <f t="shared" si="108"/>
        <v>0</v>
      </c>
      <c r="AS191" s="31">
        <f t="shared" si="109"/>
        <v>0</v>
      </c>
      <c r="AT191" s="31">
        <f t="shared" si="110"/>
        <v>0</v>
      </c>
      <c r="AU191" s="244">
        <f t="shared" si="111"/>
        <v>0</v>
      </c>
      <c r="CN191" s="596"/>
      <c r="CO191" s="259" t="s">
        <v>37</v>
      </c>
      <c r="CP191" s="260"/>
      <c r="CQ191" s="261"/>
      <c r="CR191" s="335">
        <v>0.30400000000000005</v>
      </c>
      <c r="CS191" s="270">
        <v>0.34400000000000003</v>
      </c>
      <c r="CT191" s="270" t="s">
        <v>71</v>
      </c>
      <c r="CU191" s="270">
        <v>0</v>
      </c>
      <c r="CV191" s="270">
        <v>0.33</v>
      </c>
      <c r="CW191" s="270">
        <v>0.33</v>
      </c>
      <c r="CX191" s="270">
        <v>0.33</v>
      </c>
      <c r="CY191" s="268" t="s">
        <v>79</v>
      </c>
      <c r="CZ191" s="268" t="s">
        <v>79</v>
      </c>
      <c r="DA191" s="268" t="s">
        <v>79</v>
      </c>
      <c r="DB191" s="268" t="s">
        <v>79</v>
      </c>
      <c r="DC191" s="268" t="s">
        <v>79</v>
      </c>
      <c r="DD191" s="270">
        <v>0.264</v>
      </c>
      <c r="DE191" s="270">
        <v>0.30400000000000005</v>
      </c>
      <c r="DF191" s="270">
        <v>0.34400000000000003</v>
      </c>
      <c r="DG191" s="268" t="s">
        <v>79</v>
      </c>
      <c r="DH191" s="268" t="s">
        <v>79</v>
      </c>
      <c r="DI191" s="270">
        <v>0.24</v>
      </c>
      <c r="DJ191" s="270">
        <v>0.24</v>
      </c>
      <c r="DK191" s="270">
        <v>0.24</v>
      </c>
      <c r="DL191" s="270">
        <v>0.24</v>
      </c>
      <c r="DM191" s="270">
        <v>0.24</v>
      </c>
      <c r="DN191" s="270">
        <v>0.24</v>
      </c>
      <c r="DO191" s="285">
        <v>0.32</v>
      </c>
      <c r="DP191" s="285">
        <v>0.32</v>
      </c>
      <c r="DQ191" s="285">
        <v>0.32</v>
      </c>
      <c r="DR191" s="285">
        <v>0.32</v>
      </c>
      <c r="DS191" s="268" t="s">
        <v>79</v>
      </c>
      <c r="DT191" s="268" t="s">
        <v>79</v>
      </c>
      <c r="DV191" s="274"/>
    </row>
    <row r="192" spans="17:126" ht="45.75" thickBot="1">
      <c r="Q192" s="598"/>
      <c r="R192" s="31">
        <f t="shared" si="82"/>
        <v>0</v>
      </c>
      <c r="S192" s="31">
        <f t="shared" si="83"/>
        <v>0</v>
      </c>
      <c r="T192" s="31">
        <f t="shared" si="84"/>
        <v>0</v>
      </c>
      <c r="U192" s="31">
        <f t="shared" si="85"/>
        <v>0</v>
      </c>
      <c r="V192" s="31">
        <f t="shared" si="86"/>
        <v>0</v>
      </c>
      <c r="W192" s="31">
        <f t="shared" si="87"/>
        <v>0</v>
      </c>
      <c r="X192" s="31">
        <f t="shared" si="88"/>
        <v>0</v>
      </c>
      <c r="Y192" s="31">
        <f t="shared" si="89"/>
        <v>0</v>
      </c>
      <c r="Z192" s="31">
        <f t="shared" si="90"/>
        <v>0</v>
      </c>
      <c r="AA192" s="31">
        <f t="shared" si="91"/>
        <v>0</v>
      </c>
      <c r="AB192" s="31">
        <f t="shared" si="92"/>
        <v>0</v>
      </c>
      <c r="AC192" s="31">
        <f t="shared" si="93"/>
        <v>0</v>
      </c>
      <c r="AD192" s="31">
        <f t="shared" si="94"/>
        <v>0</v>
      </c>
      <c r="AE192" s="31">
        <f t="shared" si="95"/>
        <v>0</v>
      </c>
      <c r="AF192" s="31">
        <f t="shared" si="96"/>
        <v>0</v>
      </c>
      <c r="AG192" s="31">
        <f t="shared" si="97"/>
        <v>0</v>
      </c>
      <c r="AH192" s="31">
        <f t="shared" si="98"/>
        <v>0</v>
      </c>
      <c r="AI192" s="31">
        <f t="shared" si="99"/>
        <v>0</v>
      </c>
      <c r="AJ192" s="31">
        <f t="shared" si="100"/>
        <v>0</v>
      </c>
      <c r="AK192" s="31">
        <f t="shared" si="101"/>
        <v>0</v>
      </c>
      <c r="AL192" s="31">
        <f t="shared" si="102"/>
        <v>0</v>
      </c>
      <c r="AM192" s="31">
        <f t="shared" si="103"/>
        <v>0</v>
      </c>
      <c r="AN192" s="31">
        <f t="shared" si="104"/>
        <v>0</v>
      </c>
      <c r="AO192" s="31">
        <f t="shared" si="105"/>
        <v>0</v>
      </c>
      <c r="AP192" s="31">
        <f t="shared" si="106"/>
        <v>0</v>
      </c>
      <c r="AQ192" s="31">
        <f t="shared" si="107"/>
        <v>0</v>
      </c>
      <c r="AR192" s="31">
        <f t="shared" si="108"/>
        <v>0</v>
      </c>
      <c r="AS192" s="31">
        <f t="shared" si="109"/>
        <v>0</v>
      </c>
      <c r="AT192" s="31">
        <f t="shared" si="110"/>
        <v>0</v>
      </c>
      <c r="AU192" s="244">
        <f t="shared" si="111"/>
        <v>0</v>
      </c>
      <c r="CN192" s="596"/>
      <c r="CO192" s="259" t="s">
        <v>38</v>
      </c>
      <c r="CP192" s="276"/>
      <c r="CQ192" s="261"/>
      <c r="CR192" s="335">
        <v>0.35400000000000004</v>
      </c>
      <c r="CS192" s="270">
        <v>0.394</v>
      </c>
      <c r="CT192" s="270" t="s">
        <v>71</v>
      </c>
      <c r="CU192" s="270">
        <v>0</v>
      </c>
      <c r="CV192" s="270">
        <v>0.38</v>
      </c>
      <c r="CW192" s="270">
        <v>0.38</v>
      </c>
      <c r="CX192" s="270">
        <v>0.38</v>
      </c>
      <c r="CY192" s="268" t="s">
        <v>79</v>
      </c>
      <c r="CZ192" s="268" t="s">
        <v>79</v>
      </c>
      <c r="DA192" s="268" t="s">
        <v>79</v>
      </c>
      <c r="DB192" s="268" t="s">
        <v>79</v>
      </c>
      <c r="DC192" s="268" t="s">
        <v>79</v>
      </c>
      <c r="DD192" s="270">
        <v>0.314</v>
      </c>
      <c r="DE192" s="270">
        <v>0.35400000000000004</v>
      </c>
      <c r="DF192" s="270">
        <v>0.394</v>
      </c>
      <c r="DG192" s="268" t="s">
        <v>79</v>
      </c>
      <c r="DH192" s="268" t="s">
        <v>79</v>
      </c>
      <c r="DI192" s="270">
        <v>0.29</v>
      </c>
      <c r="DJ192" s="270">
        <v>0.29</v>
      </c>
      <c r="DK192" s="270">
        <v>0.29</v>
      </c>
      <c r="DL192" s="270">
        <v>0.29</v>
      </c>
      <c r="DM192" s="270">
        <v>0.29</v>
      </c>
      <c r="DN192" s="270">
        <v>0.29</v>
      </c>
      <c r="DO192" s="285">
        <v>0.37</v>
      </c>
      <c r="DP192" s="285">
        <v>0.37</v>
      </c>
      <c r="DQ192" s="285">
        <v>0.37</v>
      </c>
      <c r="DR192" s="285">
        <v>0.37</v>
      </c>
      <c r="DS192" s="268" t="s">
        <v>79</v>
      </c>
      <c r="DT192" s="268" t="s">
        <v>79</v>
      </c>
      <c r="DV192" s="274"/>
    </row>
    <row r="193" spans="17:126" ht="28.5" customHeight="1" thickBot="1">
      <c r="Q193" s="598"/>
      <c r="R193" s="31">
        <f t="shared" si="82"/>
        <v>0</v>
      </c>
      <c r="S193" s="31">
        <f t="shared" si="83"/>
        <v>0</v>
      </c>
      <c r="T193" s="31">
        <f t="shared" si="84"/>
        <v>0</v>
      </c>
      <c r="U193" s="31">
        <f t="shared" si="85"/>
        <v>0</v>
      </c>
      <c r="V193" s="31">
        <f t="shared" si="86"/>
        <v>0</v>
      </c>
      <c r="W193" s="31">
        <f t="shared" si="87"/>
        <v>0</v>
      </c>
      <c r="X193" s="31">
        <f t="shared" si="88"/>
        <v>0</v>
      </c>
      <c r="Y193" s="31">
        <f t="shared" si="89"/>
        <v>0</v>
      </c>
      <c r="Z193" s="31">
        <f t="shared" si="90"/>
        <v>0</v>
      </c>
      <c r="AA193" s="31">
        <f t="shared" si="91"/>
        <v>0</v>
      </c>
      <c r="AB193" s="31">
        <f t="shared" si="92"/>
        <v>0</v>
      </c>
      <c r="AC193" s="31">
        <f t="shared" si="93"/>
        <v>0</v>
      </c>
      <c r="AD193" s="31">
        <f t="shared" si="94"/>
        <v>0</v>
      </c>
      <c r="AE193" s="31">
        <f t="shared" si="95"/>
        <v>0</v>
      </c>
      <c r="AF193" s="31">
        <f t="shared" si="96"/>
        <v>0</v>
      </c>
      <c r="AG193" s="31">
        <f t="shared" si="97"/>
        <v>0</v>
      </c>
      <c r="AH193" s="31">
        <f t="shared" si="98"/>
        <v>0</v>
      </c>
      <c r="AI193" s="31">
        <f t="shared" si="99"/>
        <v>0</v>
      </c>
      <c r="AJ193" s="31">
        <f t="shared" si="100"/>
        <v>0</v>
      </c>
      <c r="AK193" s="31">
        <f t="shared" si="101"/>
        <v>0</v>
      </c>
      <c r="AL193" s="31">
        <f t="shared" si="102"/>
        <v>0</v>
      </c>
      <c r="AM193" s="31">
        <f t="shared" si="103"/>
        <v>0</v>
      </c>
      <c r="AN193" s="31">
        <f t="shared" si="104"/>
        <v>0</v>
      </c>
      <c r="AO193" s="31">
        <f t="shared" si="105"/>
        <v>0</v>
      </c>
      <c r="AP193" s="31">
        <f t="shared" si="106"/>
        <v>0</v>
      </c>
      <c r="AQ193" s="31">
        <f t="shared" si="107"/>
        <v>0</v>
      </c>
      <c r="AR193" s="31">
        <f t="shared" si="108"/>
        <v>0</v>
      </c>
      <c r="AS193" s="31">
        <f t="shared" si="109"/>
        <v>0</v>
      </c>
      <c r="AT193" s="31">
        <f t="shared" si="110"/>
        <v>0</v>
      </c>
      <c r="AU193" s="244">
        <f t="shared" si="111"/>
        <v>0</v>
      </c>
      <c r="CN193" s="597"/>
      <c r="CO193" s="286" t="s">
        <v>39</v>
      </c>
      <c r="CP193" s="246"/>
      <c r="CQ193" s="261"/>
      <c r="CR193" s="335">
        <v>0.35</v>
      </c>
      <c r="CS193" s="270">
        <v>0.35</v>
      </c>
      <c r="CT193" s="270">
        <v>0.35</v>
      </c>
      <c r="CU193" s="270">
        <v>0.35</v>
      </c>
      <c r="CV193" s="270">
        <v>0.4</v>
      </c>
      <c r="CW193" s="270">
        <v>0.4</v>
      </c>
      <c r="CX193" s="270">
        <v>0.4</v>
      </c>
      <c r="CY193" s="268" t="s">
        <v>79</v>
      </c>
      <c r="CZ193" s="268" t="s">
        <v>79</v>
      </c>
      <c r="DA193" s="268" t="s">
        <v>79</v>
      </c>
      <c r="DB193" s="268" t="s">
        <v>79</v>
      </c>
      <c r="DC193" s="268" t="s">
        <v>79</v>
      </c>
      <c r="DD193" s="270">
        <v>0.33</v>
      </c>
      <c r="DE193" s="270">
        <v>0.38</v>
      </c>
      <c r="DF193" s="270">
        <v>0.43</v>
      </c>
      <c r="DG193" s="268" t="s">
        <v>79</v>
      </c>
      <c r="DH193" s="268" t="s">
        <v>79</v>
      </c>
      <c r="DI193" s="270">
        <v>0.3</v>
      </c>
      <c r="DJ193" s="270">
        <v>0.3</v>
      </c>
      <c r="DK193" s="270">
        <v>0.3</v>
      </c>
      <c r="DL193" s="270">
        <v>0.3</v>
      </c>
      <c r="DM193" s="270">
        <v>0.3</v>
      </c>
      <c r="DN193" s="270">
        <v>0.3</v>
      </c>
      <c r="DO193" s="285">
        <v>0.4</v>
      </c>
      <c r="DP193" s="285">
        <v>0.4</v>
      </c>
      <c r="DQ193" s="285">
        <v>0.4</v>
      </c>
      <c r="DR193" s="285">
        <v>0.4</v>
      </c>
      <c r="DS193" s="268" t="s">
        <v>79</v>
      </c>
      <c r="DT193" s="268" t="s">
        <v>79</v>
      </c>
      <c r="DV193" s="274"/>
    </row>
    <row r="194" spans="17:126" ht="104.25" customHeight="1" thickBot="1">
      <c r="Q194" s="609" t="s">
        <v>70</v>
      </c>
      <c r="R194" s="31">
        <f t="shared" si="82"/>
        <v>0</v>
      </c>
      <c r="S194" s="31">
        <f t="shared" si="83"/>
        <v>0</v>
      </c>
      <c r="T194" s="31">
        <f t="shared" si="84"/>
        <v>0</v>
      </c>
      <c r="U194" s="31">
        <f t="shared" si="85"/>
        <v>0</v>
      </c>
      <c r="V194" s="31">
        <f t="shared" si="86"/>
        <v>0</v>
      </c>
      <c r="W194" s="31">
        <f t="shared" si="87"/>
        <v>0</v>
      </c>
      <c r="X194" s="31">
        <f t="shared" si="88"/>
        <v>0</v>
      </c>
      <c r="Y194" s="31">
        <f t="shared" si="89"/>
        <v>0</v>
      </c>
      <c r="Z194" s="31">
        <f t="shared" si="90"/>
        <v>0</v>
      </c>
      <c r="AA194" s="31">
        <f t="shared" si="91"/>
        <v>0</v>
      </c>
      <c r="AB194" s="31">
        <f t="shared" si="92"/>
        <v>0</v>
      </c>
      <c r="AC194" s="31">
        <f t="shared" si="93"/>
        <v>0</v>
      </c>
      <c r="AD194" s="31">
        <f t="shared" si="94"/>
        <v>0</v>
      </c>
      <c r="AE194" s="31">
        <f t="shared" si="95"/>
        <v>0</v>
      </c>
      <c r="AF194" s="31">
        <f t="shared" si="96"/>
        <v>0</v>
      </c>
      <c r="AG194" s="31">
        <f t="shared" si="97"/>
        <v>0</v>
      </c>
      <c r="AH194" s="31">
        <f t="shared" si="98"/>
        <v>0</v>
      </c>
      <c r="AI194" s="31">
        <f t="shared" si="99"/>
        <v>0</v>
      </c>
      <c r="AJ194" s="31">
        <f t="shared" si="100"/>
        <v>0</v>
      </c>
      <c r="AK194" s="31">
        <f t="shared" si="101"/>
        <v>0</v>
      </c>
      <c r="AL194" s="31">
        <f t="shared" si="102"/>
        <v>0</v>
      </c>
      <c r="AM194" s="31">
        <f t="shared" si="103"/>
        <v>0</v>
      </c>
      <c r="AN194" s="31">
        <f t="shared" si="104"/>
        <v>0</v>
      </c>
      <c r="AO194" s="31">
        <f t="shared" si="105"/>
        <v>0</v>
      </c>
      <c r="AP194" s="31">
        <f t="shared" si="106"/>
        <v>0</v>
      </c>
      <c r="AQ194" s="31">
        <f t="shared" si="107"/>
        <v>0</v>
      </c>
      <c r="AR194" s="31">
        <f t="shared" si="108"/>
        <v>0</v>
      </c>
      <c r="AS194" s="31">
        <f t="shared" si="109"/>
        <v>0</v>
      </c>
      <c r="AT194" s="31">
        <f t="shared" si="110"/>
        <v>0</v>
      </c>
      <c r="AU194" s="244">
        <f t="shared" si="111"/>
        <v>0</v>
      </c>
      <c r="CN194" s="595" t="s">
        <v>70</v>
      </c>
      <c r="CO194" s="287" t="s">
        <v>40</v>
      </c>
      <c r="CP194" s="260"/>
      <c r="CQ194" s="261"/>
      <c r="CR194" s="335">
        <v>0.4</v>
      </c>
      <c r="CS194" s="270">
        <v>0.4</v>
      </c>
      <c r="CT194" s="270">
        <v>0.4</v>
      </c>
      <c r="CU194" s="270">
        <v>0.4</v>
      </c>
      <c r="CV194" s="270">
        <v>0.45</v>
      </c>
      <c r="CW194" s="270">
        <v>0.45</v>
      </c>
      <c r="CX194" s="270">
        <v>0.45</v>
      </c>
      <c r="CY194" s="268" t="s">
        <v>79</v>
      </c>
      <c r="CZ194" s="268" t="s">
        <v>79</v>
      </c>
      <c r="DA194" s="268" t="s">
        <v>79</v>
      </c>
      <c r="DB194" s="268" t="s">
        <v>79</v>
      </c>
      <c r="DC194" s="268" t="s">
        <v>79</v>
      </c>
      <c r="DD194" s="270">
        <v>0.36</v>
      </c>
      <c r="DE194" s="270">
        <v>0.4</v>
      </c>
      <c r="DF194" s="270">
        <v>0.45</v>
      </c>
      <c r="DG194" s="268" t="s">
        <v>79</v>
      </c>
      <c r="DH194" s="268" t="s">
        <v>79</v>
      </c>
      <c r="DI194" s="270">
        <v>0.36</v>
      </c>
      <c r="DJ194" s="270">
        <v>0.36</v>
      </c>
      <c r="DK194" s="270">
        <v>0.36</v>
      </c>
      <c r="DL194" s="270">
        <v>0.36</v>
      </c>
      <c r="DM194" s="270">
        <v>0.36</v>
      </c>
      <c r="DN194" s="270">
        <v>0.36</v>
      </c>
      <c r="DO194" s="270">
        <v>0.4</v>
      </c>
      <c r="DP194" s="270">
        <v>0.4</v>
      </c>
      <c r="DQ194" s="270">
        <v>0.4</v>
      </c>
      <c r="DR194" s="270">
        <v>0.4</v>
      </c>
      <c r="DS194" s="268" t="s">
        <v>79</v>
      </c>
      <c r="DT194" s="268" t="s">
        <v>79</v>
      </c>
      <c r="DV194" s="274"/>
    </row>
    <row r="195" spans="17:126" ht="16.5" thickBot="1">
      <c r="Q195" s="598"/>
      <c r="R195" s="31">
        <f t="shared" si="82"/>
        <v>0</v>
      </c>
      <c r="S195" s="31">
        <f t="shared" si="83"/>
        <v>0</v>
      </c>
      <c r="T195" s="31">
        <f t="shared" si="84"/>
        <v>0</v>
      </c>
      <c r="U195" s="31">
        <f t="shared" si="85"/>
        <v>0</v>
      </c>
      <c r="V195" s="31">
        <f t="shared" si="86"/>
        <v>0</v>
      </c>
      <c r="W195" s="31">
        <f t="shared" si="87"/>
        <v>0</v>
      </c>
      <c r="X195" s="31">
        <f t="shared" si="88"/>
        <v>0</v>
      </c>
      <c r="Y195" s="31">
        <f t="shared" si="89"/>
        <v>0</v>
      </c>
      <c r="Z195" s="31">
        <f t="shared" si="90"/>
        <v>0</v>
      </c>
      <c r="AA195" s="31">
        <f t="shared" si="91"/>
        <v>0</v>
      </c>
      <c r="AB195" s="31">
        <f t="shared" si="92"/>
        <v>0</v>
      </c>
      <c r="AC195" s="31">
        <f t="shared" si="93"/>
        <v>0</v>
      </c>
      <c r="AD195" s="31">
        <f t="shared" si="94"/>
        <v>0</v>
      </c>
      <c r="AE195" s="31">
        <f t="shared" si="95"/>
        <v>0</v>
      </c>
      <c r="AF195" s="31">
        <f t="shared" si="96"/>
        <v>0</v>
      </c>
      <c r="AG195" s="31">
        <f t="shared" si="97"/>
        <v>0</v>
      </c>
      <c r="AH195" s="31">
        <f t="shared" si="98"/>
        <v>0</v>
      </c>
      <c r="AI195" s="31">
        <f t="shared" si="99"/>
        <v>0</v>
      </c>
      <c r="AJ195" s="31">
        <f t="shared" si="100"/>
        <v>0</v>
      </c>
      <c r="AK195" s="31">
        <f t="shared" si="101"/>
        <v>0</v>
      </c>
      <c r="AL195" s="31">
        <f t="shared" si="102"/>
        <v>0</v>
      </c>
      <c r="AM195" s="31">
        <f t="shared" si="103"/>
        <v>0</v>
      </c>
      <c r="AN195" s="31">
        <f t="shared" si="104"/>
        <v>0</v>
      </c>
      <c r="AO195" s="31">
        <f t="shared" si="105"/>
        <v>0</v>
      </c>
      <c r="AP195" s="31">
        <f t="shared" si="106"/>
        <v>0</v>
      </c>
      <c r="AQ195" s="31">
        <f t="shared" si="107"/>
        <v>0</v>
      </c>
      <c r="AR195" s="31">
        <f t="shared" si="108"/>
        <v>0</v>
      </c>
      <c r="AS195" s="31">
        <f t="shared" si="109"/>
        <v>0</v>
      </c>
      <c r="AT195" s="31">
        <f t="shared" si="110"/>
        <v>0</v>
      </c>
      <c r="AU195" s="244">
        <f t="shared" si="111"/>
        <v>0</v>
      </c>
      <c r="CN195" s="596"/>
      <c r="CO195" s="288" t="s">
        <v>41</v>
      </c>
      <c r="CP195" s="276"/>
      <c r="CQ195" s="261"/>
      <c r="CR195" s="335">
        <v>0.35</v>
      </c>
      <c r="CS195" s="270">
        <v>0.35</v>
      </c>
      <c r="CT195" s="270">
        <v>0.35</v>
      </c>
      <c r="CU195" s="270">
        <v>0.35</v>
      </c>
      <c r="CV195" s="270">
        <v>0.4</v>
      </c>
      <c r="CW195" s="270">
        <v>0.4</v>
      </c>
      <c r="CX195" s="270">
        <v>0.4</v>
      </c>
      <c r="CY195" s="268" t="s">
        <v>79</v>
      </c>
      <c r="CZ195" s="268" t="s">
        <v>79</v>
      </c>
      <c r="DA195" s="268" t="s">
        <v>79</v>
      </c>
      <c r="DB195" s="268" t="s">
        <v>79</v>
      </c>
      <c r="DC195" s="268" t="s">
        <v>79</v>
      </c>
      <c r="DD195" s="270">
        <v>0.31</v>
      </c>
      <c r="DE195" s="270">
        <v>0.35</v>
      </c>
      <c r="DF195" s="270">
        <v>0.4</v>
      </c>
      <c r="DG195" s="268" t="s">
        <v>79</v>
      </c>
      <c r="DH195" s="268" t="s">
        <v>79</v>
      </c>
      <c r="DI195" s="270">
        <v>0.31</v>
      </c>
      <c r="DJ195" s="270">
        <v>0.31</v>
      </c>
      <c r="DK195" s="270">
        <v>0.31</v>
      </c>
      <c r="DL195" s="270">
        <v>0.31</v>
      </c>
      <c r="DM195" s="270">
        <v>0.31</v>
      </c>
      <c r="DN195" s="270">
        <v>0.31</v>
      </c>
      <c r="DO195" s="270">
        <v>0.35</v>
      </c>
      <c r="DP195" s="270">
        <v>0.35</v>
      </c>
      <c r="DQ195" s="270">
        <v>0.35</v>
      </c>
      <c r="DR195" s="270">
        <v>0.35</v>
      </c>
      <c r="DS195" s="268" t="s">
        <v>79</v>
      </c>
      <c r="DT195" s="268" t="s">
        <v>79</v>
      </c>
      <c r="DV195" s="274"/>
    </row>
    <row r="196" spans="1:126" ht="71.25" customHeight="1" thickBot="1">
      <c r="A196" s="337"/>
      <c r="B196" s="337"/>
      <c r="C196" s="337"/>
      <c r="D196" s="337"/>
      <c r="E196" s="337"/>
      <c r="F196" s="337"/>
      <c r="G196" s="337"/>
      <c r="H196" s="337"/>
      <c r="I196" s="337"/>
      <c r="J196" s="337"/>
      <c r="Q196" s="610"/>
      <c r="R196" s="31">
        <f t="shared" si="82"/>
        <v>0</v>
      </c>
      <c r="S196" s="31">
        <f t="shared" si="83"/>
        <v>0</v>
      </c>
      <c r="T196" s="31">
        <f t="shared" si="84"/>
        <v>0</v>
      </c>
      <c r="U196" s="31">
        <f t="shared" si="85"/>
        <v>0</v>
      </c>
      <c r="V196" s="31">
        <f t="shared" si="86"/>
        <v>0</v>
      </c>
      <c r="W196" s="31">
        <f t="shared" si="87"/>
        <v>0</v>
      </c>
      <c r="X196" s="31">
        <f t="shared" si="88"/>
        <v>0</v>
      </c>
      <c r="Y196" s="31">
        <f t="shared" si="89"/>
        <v>0</v>
      </c>
      <c r="Z196" s="31">
        <f t="shared" si="90"/>
        <v>0</v>
      </c>
      <c r="AA196" s="31">
        <f t="shared" si="91"/>
        <v>0</v>
      </c>
      <c r="AB196" s="31">
        <f t="shared" si="92"/>
        <v>0</v>
      </c>
      <c r="AC196" s="31">
        <f t="shared" si="93"/>
        <v>0</v>
      </c>
      <c r="AD196" s="31">
        <f t="shared" si="94"/>
        <v>0</v>
      </c>
      <c r="AE196" s="31">
        <f t="shared" si="95"/>
        <v>0</v>
      </c>
      <c r="AF196" s="31">
        <f t="shared" si="96"/>
        <v>0</v>
      </c>
      <c r="AG196" s="31">
        <f t="shared" si="97"/>
        <v>0</v>
      </c>
      <c r="AH196" s="31">
        <f t="shared" si="98"/>
        <v>0</v>
      </c>
      <c r="AI196" s="31">
        <f t="shared" si="99"/>
        <v>0</v>
      </c>
      <c r="AJ196" s="31">
        <f t="shared" si="100"/>
        <v>0</v>
      </c>
      <c r="AK196" s="31">
        <f t="shared" si="101"/>
        <v>0</v>
      </c>
      <c r="AL196" s="31">
        <f t="shared" si="102"/>
        <v>0</v>
      </c>
      <c r="AM196" s="31">
        <f t="shared" si="103"/>
        <v>0</v>
      </c>
      <c r="AN196" s="31">
        <f t="shared" si="104"/>
        <v>0</v>
      </c>
      <c r="AO196" s="31">
        <f t="shared" si="105"/>
        <v>0</v>
      </c>
      <c r="AP196" s="31">
        <f t="shared" si="106"/>
        <v>0</v>
      </c>
      <c r="AQ196" s="31">
        <f t="shared" si="107"/>
        <v>0</v>
      </c>
      <c r="AR196" s="31">
        <f t="shared" si="108"/>
        <v>0</v>
      </c>
      <c r="AS196" s="31">
        <f t="shared" si="109"/>
        <v>0</v>
      </c>
      <c r="AT196" s="31">
        <f t="shared" si="110"/>
        <v>0</v>
      </c>
      <c r="AU196" s="244">
        <f t="shared" si="111"/>
        <v>0</v>
      </c>
      <c r="CN196" s="597"/>
      <c r="CO196" s="289" t="s">
        <v>42</v>
      </c>
      <c r="CP196" s="246"/>
      <c r="CQ196" s="261"/>
      <c r="CR196" s="268" t="s">
        <v>79</v>
      </c>
      <c r="CS196" s="268" t="s">
        <v>79</v>
      </c>
      <c r="CT196" s="268" t="s">
        <v>79</v>
      </c>
      <c r="CU196" s="268" t="s">
        <v>79</v>
      </c>
      <c r="CV196" s="268" t="s">
        <v>79</v>
      </c>
      <c r="CW196" s="268" t="s">
        <v>79</v>
      </c>
      <c r="CX196" s="268" t="s">
        <v>79</v>
      </c>
      <c r="CY196" s="268" t="s">
        <v>79</v>
      </c>
      <c r="CZ196" s="268" t="s">
        <v>79</v>
      </c>
      <c r="DA196" s="268" t="s">
        <v>79</v>
      </c>
      <c r="DB196" s="268" t="s">
        <v>79</v>
      </c>
      <c r="DC196" s="268" t="s">
        <v>79</v>
      </c>
      <c r="DD196" s="268" t="s">
        <v>79</v>
      </c>
      <c r="DE196" s="268" t="s">
        <v>79</v>
      </c>
      <c r="DF196" s="268" t="s">
        <v>79</v>
      </c>
      <c r="DG196" s="268" t="s">
        <v>79</v>
      </c>
      <c r="DH196" s="268" t="s">
        <v>79</v>
      </c>
      <c r="DI196" s="268" t="s">
        <v>79</v>
      </c>
      <c r="DJ196" s="268" t="s">
        <v>79</v>
      </c>
      <c r="DK196" s="268" t="s">
        <v>79</v>
      </c>
      <c r="DL196" s="268" t="s">
        <v>79</v>
      </c>
      <c r="DM196" s="268" t="s">
        <v>79</v>
      </c>
      <c r="DN196" s="268" t="s">
        <v>79</v>
      </c>
      <c r="DO196" s="268" t="s">
        <v>79</v>
      </c>
      <c r="DP196" s="268" t="s">
        <v>79</v>
      </c>
      <c r="DQ196" s="268" t="s">
        <v>79</v>
      </c>
      <c r="DR196" s="268" t="s">
        <v>79</v>
      </c>
      <c r="DS196" s="290" t="s">
        <v>79</v>
      </c>
      <c r="DT196" s="290" t="s">
        <v>79</v>
      </c>
      <c r="DV196" s="291"/>
    </row>
    <row r="197" spans="1:127" ht="16.5" thickBot="1">
      <c r="A197" s="337"/>
      <c r="B197" s="337"/>
      <c r="C197" s="337"/>
      <c r="D197" s="337"/>
      <c r="E197" s="337"/>
      <c r="F197" s="337"/>
      <c r="G197" s="337"/>
      <c r="H197" s="337"/>
      <c r="I197" s="337"/>
      <c r="J197" s="337"/>
      <c r="CQ197" s="274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94"/>
      <c r="DC197" s="295"/>
      <c r="DD197" s="295"/>
      <c r="DE197" s="295"/>
      <c r="DF197" s="295"/>
      <c r="DG197" s="295"/>
      <c r="DH197" s="295"/>
      <c r="DI197" s="295"/>
      <c r="DJ197" s="295"/>
      <c r="DK197" s="295"/>
      <c r="DL197" s="295"/>
      <c r="DM197" s="295"/>
      <c r="DN197" s="295"/>
      <c r="DO197" s="295"/>
      <c r="DP197" s="295"/>
      <c r="DQ197" s="295"/>
      <c r="DR197" s="295"/>
      <c r="DS197" s="295"/>
      <c r="DT197" s="296"/>
      <c r="DU197" s="297"/>
      <c r="DV197" s="298"/>
      <c r="DW197" s="299"/>
    </row>
    <row r="198" spans="1:95" s="338" customFormat="1" ht="6.75" customHeight="1">
      <c r="A198" s="337"/>
      <c r="B198" s="337"/>
      <c r="C198" s="337"/>
      <c r="D198" s="337"/>
      <c r="E198" s="337"/>
      <c r="F198" s="337"/>
      <c r="G198" s="337"/>
      <c r="H198" s="337"/>
      <c r="I198" s="337"/>
      <c r="J198" s="337"/>
      <c r="CN198" s="339"/>
      <c r="CO198" s="339"/>
      <c r="CP198" s="339"/>
      <c r="CQ198" s="339"/>
    </row>
    <row r="199" spans="1:10" ht="14.25">
      <c r="A199" s="337"/>
      <c r="B199" s="337"/>
      <c r="C199" s="337"/>
      <c r="D199" s="337"/>
      <c r="E199" s="337"/>
      <c r="F199" s="337"/>
      <c r="G199" s="337"/>
      <c r="H199" s="337"/>
      <c r="I199" s="337"/>
      <c r="J199" s="337"/>
    </row>
    <row r="200" spans="1:10" ht="14.25">
      <c r="A200" s="337"/>
      <c r="B200" s="337"/>
      <c r="C200" s="337"/>
      <c r="D200" s="337"/>
      <c r="E200" s="337"/>
      <c r="F200" s="337"/>
      <c r="G200" s="337"/>
      <c r="H200" s="337"/>
      <c r="I200" s="337"/>
      <c r="J200" s="337"/>
    </row>
    <row r="201" spans="1:98" ht="14.25">
      <c r="A201" s="337"/>
      <c r="B201" s="337"/>
      <c r="C201" s="337"/>
      <c r="D201" s="337"/>
      <c r="E201" s="337"/>
      <c r="F201" s="337"/>
      <c r="G201" s="337"/>
      <c r="H201" s="337"/>
      <c r="I201" s="337"/>
      <c r="J201" s="337"/>
      <c r="CQ201" s="340"/>
      <c r="CR201" s="340"/>
      <c r="CS201" s="340"/>
      <c r="CT201" s="340"/>
    </row>
    <row r="202" spans="1:98" ht="14.25">
      <c r="A202" s="337"/>
      <c r="B202" s="337"/>
      <c r="C202" s="337"/>
      <c r="D202" s="337"/>
      <c r="E202" s="337"/>
      <c r="F202" s="337"/>
      <c r="G202" s="337"/>
      <c r="H202" s="337"/>
      <c r="I202" s="337"/>
      <c r="J202" s="337"/>
      <c r="CQ202" s="340"/>
      <c r="CR202" s="340"/>
      <c r="CS202" s="340"/>
      <c r="CT202" s="340"/>
    </row>
    <row r="203" spans="1:98" ht="14.25">
      <c r="A203" s="337"/>
      <c r="B203" s="337"/>
      <c r="C203" s="337"/>
      <c r="D203" s="337"/>
      <c r="E203" s="337"/>
      <c r="F203" s="337"/>
      <c r="G203" s="337"/>
      <c r="H203" s="337"/>
      <c r="I203" s="337"/>
      <c r="J203" s="337"/>
      <c r="CQ203" s="340"/>
      <c r="CR203" s="340"/>
      <c r="CS203" s="340"/>
      <c r="CT203" s="340"/>
    </row>
    <row r="204" spans="95:98" ht="14.25">
      <c r="CQ204" s="340"/>
      <c r="CR204" s="340"/>
      <c r="CS204" s="340"/>
      <c r="CT204" s="340"/>
    </row>
    <row r="205" spans="95:98" ht="14.25">
      <c r="CQ205" s="340"/>
      <c r="CR205" s="340"/>
      <c r="CS205" s="340"/>
      <c r="CT205" s="340"/>
    </row>
    <row r="206" spans="93:98" ht="14.25">
      <c r="CO206" s="340"/>
      <c r="CP206" s="3"/>
      <c r="CQ206" s="340"/>
      <c r="CR206" s="340"/>
      <c r="CS206" s="340"/>
      <c r="CT206" s="340"/>
    </row>
    <row r="207" spans="93:106" ht="18">
      <c r="CO207" s="340"/>
      <c r="CP207" s="341" t="s">
        <v>3</v>
      </c>
      <c r="CQ207" s="340"/>
      <c r="CR207" s="340"/>
      <c r="CS207" s="340"/>
      <c r="CT207" s="340"/>
      <c r="CX207" s="342" t="s">
        <v>210</v>
      </c>
      <c r="CY207" s="343">
        <f>D60</f>
        <v>0</v>
      </c>
      <c r="CZ207" s="344">
        <v>1.5</v>
      </c>
      <c r="DB207" s="343">
        <v>0</v>
      </c>
    </row>
    <row r="208" spans="93:106" ht="15" thickBot="1">
      <c r="CO208" s="345" t="s">
        <v>79</v>
      </c>
      <c r="CP208" s="346">
        <v>0</v>
      </c>
      <c r="CQ208" s="340"/>
      <c r="CR208" s="340"/>
      <c r="CS208" s="340"/>
      <c r="CT208" s="347"/>
      <c r="CX208" s="342" t="s">
        <v>211</v>
      </c>
      <c r="CY208" s="343">
        <f>100%-CY207</f>
        <v>1</v>
      </c>
      <c r="CZ208" s="344">
        <v>0.5</v>
      </c>
      <c r="DB208" s="343">
        <v>0.25</v>
      </c>
    </row>
    <row r="209" spans="93:106" ht="15">
      <c r="CO209" s="348" t="s">
        <v>0</v>
      </c>
      <c r="CP209" s="344">
        <f>CY210</f>
        <v>0.5</v>
      </c>
      <c r="CQ209" s="340"/>
      <c r="CR209" s="349">
        <f>CT213*CT214</f>
        <v>0</v>
      </c>
      <c r="CS209" s="350">
        <v>1</v>
      </c>
      <c r="CT209" s="347"/>
      <c r="CX209" s="10"/>
      <c r="CY209" s="10"/>
      <c r="DB209" s="343">
        <v>0.5</v>
      </c>
    </row>
    <row r="210" spans="93:106" ht="15" thickBot="1">
      <c r="CO210" s="348" t="s">
        <v>1</v>
      </c>
      <c r="CP210" s="344">
        <f>CY210</f>
        <v>0.5</v>
      </c>
      <c r="CQ210" s="340"/>
      <c r="CR210" s="351">
        <f>CT211*CT212</f>
        <v>0</v>
      </c>
      <c r="CS210" s="352"/>
      <c r="CT210" s="353"/>
      <c r="CX210" s="244" t="s">
        <v>212</v>
      </c>
      <c r="CY210" s="244">
        <f>CZ207*CY207+CY208*CZ208</f>
        <v>0.5</v>
      </c>
      <c r="DB210" s="343">
        <v>0.75</v>
      </c>
    </row>
    <row r="211" spans="93:106" ht="15" thickBot="1">
      <c r="CO211" s="348" t="s">
        <v>2</v>
      </c>
      <c r="CP211" s="344">
        <v>0.5</v>
      </c>
      <c r="CQ211" s="340"/>
      <c r="CR211" s="340"/>
      <c r="CS211" s="352"/>
      <c r="CT211" s="354">
        <f>IF(R61="х",CP211,1)</f>
        <v>1</v>
      </c>
      <c r="CX211" s="10"/>
      <c r="CY211" s="10"/>
      <c r="DB211" s="343">
        <v>1</v>
      </c>
    </row>
    <row r="212" spans="93:98" ht="15" thickBot="1">
      <c r="CO212" s="348"/>
      <c r="CP212" s="355">
        <v>0</v>
      </c>
      <c r="CQ212" s="340"/>
      <c r="CR212" s="340"/>
      <c r="CS212" s="352"/>
      <c r="CT212" s="476">
        <f>IF(AND(R59=CO212,R60=CO212,R61=CO212),CP212,1)</f>
        <v>0</v>
      </c>
    </row>
    <row r="213" spans="93:98" ht="15" thickBot="1">
      <c r="CO213" s="340"/>
      <c r="CP213" s="340"/>
      <c r="CQ213" s="340"/>
      <c r="CR213" s="340"/>
      <c r="CS213" s="352"/>
      <c r="CT213" s="477">
        <f>IF(AND(R59=CO208,R60=CO208),CY210,1)</f>
        <v>1</v>
      </c>
    </row>
    <row r="214" spans="93:98" ht="15" thickBot="1">
      <c r="CO214" s="340"/>
      <c r="CP214" s="340"/>
      <c r="CQ214" s="340"/>
      <c r="CR214" s="340"/>
      <c r="CS214" s="352"/>
      <c r="CT214" s="478">
        <f>IF(AND(R59=CO212,R60=CO212),CP212,1)</f>
        <v>0</v>
      </c>
    </row>
    <row r="215" spans="93:98" ht="102.75" thickBot="1">
      <c r="CO215" s="356" t="s">
        <v>80</v>
      </c>
      <c r="CP215" s="357" t="s">
        <v>81</v>
      </c>
      <c r="CQ215" s="340"/>
      <c r="CR215" s="358">
        <f>CT217*CT218*CT219*CT216</f>
        <v>0</v>
      </c>
      <c r="CS215" s="359">
        <v>2</v>
      </c>
      <c r="CT215" s="360"/>
    </row>
    <row r="216" spans="93:98" ht="15" thickBot="1">
      <c r="CO216" s="361" t="s">
        <v>79</v>
      </c>
      <c r="CP216" s="362">
        <v>0</v>
      </c>
      <c r="CQ216" s="363"/>
      <c r="CR216" s="364"/>
      <c r="CS216" s="365"/>
      <c r="CT216" s="347">
        <f>IF(AND(E62=CO216,E63=CO216),0.08,1)</f>
        <v>1</v>
      </c>
    </row>
    <row r="217" spans="93:98" ht="115.5" thickBot="1">
      <c r="CO217" s="366" t="s">
        <v>82</v>
      </c>
      <c r="CP217" s="347">
        <v>0.08</v>
      </c>
      <c r="CQ217" s="340"/>
      <c r="CR217" s="340"/>
      <c r="CS217" s="340"/>
      <c r="CT217" s="347">
        <f>IF(AND(E62="х",CT216=1),CP217,1)</f>
        <v>1</v>
      </c>
    </row>
    <row r="218" spans="93:100" ht="14.25">
      <c r="CO218" s="367" t="s">
        <v>83</v>
      </c>
      <c r="CP218" s="353">
        <v>0.05</v>
      </c>
      <c r="CQ218" s="340"/>
      <c r="CR218" s="340"/>
      <c r="CS218" s="340"/>
      <c r="CT218" s="347">
        <f>IF(AND(E63="х",CT216=1),CP218,1)</f>
        <v>1</v>
      </c>
      <c r="CV218" s="368"/>
    </row>
    <row r="219" spans="93:98" ht="14.25">
      <c r="CO219" s="86"/>
      <c r="CP219" s="86">
        <v>0</v>
      </c>
      <c r="CT219" s="347">
        <f>IF(AND(E62=CO212,E63=CO212),CP219,1)</f>
        <v>0</v>
      </c>
    </row>
    <row r="220" spans="93:101" ht="14.25">
      <c r="CO220" s="616" t="s">
        <v>84</v>
      </c>
      <c r="CP220" s="614" t="s">
        <v>85</v>
      </c>
      <c r="CQ220" s="615"/>
      <c r="CR220" s="615"/>
      <c r="CS220" s="615"/>
      <c r="CT220" s="615"/>
      <c r="CU220" s="615"/>
      <c r="CV220" s="615"/>
      <c r="CW220" s="369"/>
    </row>
    <row r="221" spans="93:112" ht="141" thickBot="1">
      <c r="CO221" s="617"/>
      <c r="CP221" s="370" t="s">
        <v>5</v>
      </c>
      <c r="CQ221" s="370" t="s">
        <v>123</v>
      </c>
      <c r="CR221" s="370" t="s">
        <v>124</v>
      </c>
      <c r="CS221" s="370" t="s">
        <v>126</v>
      </c>
      <c r="CT221" s="370" t="s">
        <v>128</v>
      </c>
      <c r="CU221" s="370" t="s">
        <v>130</v>
      </c>
      <c r="CV221" s="370" t="s">
        <v>131</v>
      </c>
      <c r="CW221" s="371" t="s">
        <v>132</v>
      </c>
      <c r="CX221" s="372" t="s">
        <v>134</v>
      </c>
      <c r="DB221" s="5"/>
      <c r="DC221" s="3"/>
      <c r="DG221" s="5"/>
      <c r="DH221" s="3"/>
    </row>
    <row r="222" spans="93:112" ht="15" thickBot="1">
      <c r="CO222" s="373">
        <v>0</v>
      </c>
      <c r="CP222" s="374" t="s">
        <v>86</v>
      </c>
      <c r="CQ222" s="375" t="s">
        <v>86</v>
      </c>
      <c r="CR222" s="375" t="s">
        <v>86</v>
      </c>
      <c r="CS222" s="376" t="s">
        <v>86</v>
      </c>
      <c r="CT222" s="376" t="s">
        <v>86</v>
      </c>
      <c r="CU222" s="376" t="s">
        <v>86</v>
      </c>
      <c r="CV222" s="376" t="s">
        <v>86</v>
      </c>
      <c r="CW222" s="377" t="s">
        <v>86</v>
      </c>
      <c r="CX222" s="378" t="s">
        <v>86</v>
      </c>
      <c r="CY222" s="374" t="s">
        <v>86</v>
      </c>
      <c r="DA222" s="274">
        <f>IF($D$67=CO222,1,0)</f>
        <v>0</v>
      </c>
      <c r="DC222" s="3"/>
      <c r="DG222" s="5"/>
      <c r="DH222" s="3"/>
    </row>
    <row r="223" spans="93:112" ht="15" thickBot="1">
      <c r="CO223" s="373">
        <v>3000</v>
      </c>
      <c r="CP223" s="374" t="s">
        <v>87</v>
      </c>
      <c r="CQ223" s="375" t="s">
        <v>87</v>
      </c>
      <c r="CR223" s="375" t="s">
        <v>87</v>
      </c>
      <c r="CS223" s="375" t="s">
        <v>88</v>
      </c>
      <c r="CT223" s="375" t="s">
        <v>89</v>
      </c>
      <c r="CU223" s="375" t="s">
        <v>89</v>
      </c>
      <c r="CV223" s="375" t="s">
        <v>89</v>
      </c>
      <c r="CW223" s="379" t="s">
        <v>90</v>
      </c>
      <c r="CX223" s="374" t="s">
        <v>90</v>
      </c>
      <c r="CY223" s="374" t="s">
        <v>87</v>
      </c>
      <c r="DA223" s="274">
        <f>IF($D$67=CO223,2,0)</f>
        <v>0</v>
      </c>
      <c r="DC223" s="3"/>
      <c r="DG223" s="5"/>
      <c r="DH223" s="3"/>
    </row>
    <row r="224" spans="93:112" ht="15" thickBot="1">
      <c r="CO224" s="373">
        <v>6000</v>
      </c>
      <c r="CP224" s="374" t="s">
        <v>91</v>
      </c>
      <c r="CQ224" s="375" t="s">
        <v>91</v>
      </c>
      <c r="CR224" s="375" t="s">
        <v>91</v>
      </c>
      <c r="CS224" s="375" t="s">
        <v>92</v>
      </c>
      <c r="CT224" s="375" t="s">
        <v>87</v>
      </c>
      <c r="CU224" s="375" t="s">
        <v>87</v>
      </c>
      <c r="CV224" s="375" t="s">
        <v>93</v>
      </c>
      <c r="CW224" s="379" t="s">
        <v>94</v>
      </c>
      <c r="CX224" s="374" t="s">
        <v>94</v>
      </c>
      <c r="CY224" s="374" t="s">
        <v>91</v>
      </c>
      <c r="DA224" s="274">
        <f>IF($D$67=CO224,3,0)</f>
        <v>3</v>
      </c>
      <c r="DC224" s="3"/>
      <c r="DG224" s="5"/>
      <c r="DH224" s="3"/>
    </row>
    <row r="225" spans="93:112" ht="15" thickBot="1">
      <c r="CO225" s="373">
        <v>15000</v>
      </c>
      <c r="CP225" s="374" t="s">
        <v>95</v>
      </c>
      <c r="CQ225" s="375" t="s">
        <v>95</v>
      </c>
      <c r="CR225" s="375" t="s">
        <v>96</v>
      </c>
      <c r="CS225" s="375" t="s">
        <v>91</v>
      </c>
      <c r="CT225" s="375" t="s">
        <v>91</v>
      </c>
      <c r="CU225" s="375" t="s">
        <v>97</v>
      </c>
      <c r="CV225" s="375" t="s">
        <v>98</v>
      </c>
      <c r="CW225" s="379" t="s">
        <v>98</v>
      </c>
      <c r="CX225" s="374" t="s">
        <v>98</v>
      </c>
      <c r="CY225" s="374" t="s">
        <v>95</v>
      </c>
      <c r="DA225" s="274">
        <f>IF($D$67=CO225,4,0)</f>
        <v>0</v>
      </c>
      <c r="DC225" s="3"/>
      <c r="DG225" s="5"/>
      <c r="DH225" s="3"/>
    </row>
    <row r="226" spans="93:112" ht="15" thickBot="1">
      <c r="CO226" s="373">
        <v>30000</v>
      </c>
      <c r="CP226" s="374" t="s">
        <v>99</v>
      </c>
      <c r="CQ226" s="375" t="s">
        <v>99</v>
      </c>
      <c r="CR226" s="375" t="s">
        <v>100</v>
      </c>
      <c r="CS226" s="375" t="s">
        <v>101</v>
      </c>
      <c r="CT226" s="375" t="s">
        <v>96</v>
      </c>
      <c r="CU226" s="375" t="s">
        <v>91</v>
      </c>
      <c r="CV226" s="375" t="s">
        <v>91</v>
      </c>
      <c r="CW226" s="379" t="s">
        <v>91</v>
      </c>
      <c r="CX226" s="374" t="s">
        <v>91</v>
      </c>
      <c r="CY226" s="374" t="s">
        <v>99</v>
      </c>
      <c r="DA226" s="274">
        <f>IF($D$67=CO226,5,0)</f>
        <v>0</v>
      </c>
      <c r="DC226" s="3"/>
      <c r="DG226" s="5"/>
      <c r="DH226" s="3"/>
    </row>
    <row r="227" spans="93:112" ht="15" thickBot="1">
      <c r="CO227" s="373">
        <v>60000</v>
      </c>
      <c r="CP227" s="374" t="s">
        <v>102</v>
      </c>
      <c r="CQ227" s="375" t="s">
        <v>102</v>
      </c>
      <c r="CR227" s="375" t="s">
        <v>103</v>
      </c>
      <c r="CS227" s="375" t="s">
        <v>99</v>
      </c>
      <c r="CT227" s="375" t="s">
        <v>100</v>
      </c>
      <c r="CU227" s="375" t="s">
        <v>101</v>
      </c>
      <c r="CV227" s="375" t="s">
        <v>95</v>
      </c>
      <c r="CW227" s="379" t="s">
        <v>96</v>
      </c>
      <c r="CX227" s="374" t="s">
        <v>96</v>
      </c>
      <c r="CY227" s="374" t="s">
        <v>102</v>
      </c>
      <c r="DA227" s="274">
        <f>IF($D$67=CO227,6,0)</f>
        <v>0</v>
      </c>
      <c r="DC227" s="3"/>
      <c r="DG227" s="5"/>
      <c r="DH227" s="3"/>
    </row>
    <row r="228" spans="93:112" ht="15" thickBot="1">
      <c r="CO228" s="373">
        <v>150000</v>
      </c>
      <c r="CP228" s="374" t="s">
        <v>104</v>
      </c>
      <c r="CQ228" s="375" t="s">
        <v>104</v>
      </c>
      <c r="CR228" s="375" t="s">
        <v>105</v>
      </c>
      <c r="CS228" s="375" t="s">
        <v>106</v>
      </c>
      <c r="CT228" s="375" t="s">
        <v>103</v>
      </c>
      <c r="CU228" s="375" t="s">
        <v>99</v>
      </c>
      <c r="CV228" s="375" t="s">
        <v>99</v>
      </c>
      <c r="CW228" s="379" t="s">
        <v>100</v>
      </c>
      <c r="CX228" s="374" t="s">
        <v>100</v>
      </c>
      <c r="CY228" s="374" t="s">
        <v>104</v>
      </c>
      <c r="DA228" s="274">
        <f>IF($D$67=CO228,7,0)</f>
        <v>0</v>
      </c>
      <c r="DC228" s="3"/>
      <c r="DG228" s="5"/>
      <c r="DH228" s="3"/>
    </row>
    <row r="229" spans="93:112" ht="15" thickBot="1">
      <c r="CO229" s="373">
        <v>300000</v>
      </c>
      <c r="CP229" s="374" t="s">
        <v>107</v>
      </c>
      <c r="CQ229" s="375" t="s">
        <v>107</v>
      </c>
      <c r="CR229" s="375" t="s">
        <v>108</v>
      </c>
      <c r="CS229" s="375" t="s">
        <v>104</v>
      </c>
      <c r="CT229" s="375" t="s">
        <v>105</v>
      </c>
      <c r="CU229" s="375" t="s">
        <v>109</v>
      </c>
      <c r="CV229" s="375" t="s">
        <v>110</v>
      </c>
      <c r="CW229" s="379" t="s">
        <v>111</v>
      </c>
      <c r="CX229" s="374" t="s">
        <v>111</v>
      </c>
      <c r="CY229" s="374" t="s">
        <v>107</v>
      </c>
      <c r="DA229" s="274">
        <f>IF($D$67=CO229,8,0)</f>
        <v>0</v>
      </c>
      <c r="DC229" s="3"/>
      <c r="DG229" s="5"/>
      <c r="DH229" s="3"/>
    </row>
    <row r="230" spans="93:112" ht="15" thickBot="1">
      <c r="CO230" s="373">
        <v>600000</v>
      </c>
      <c r="CP230" s="374" t="s">
        <v>112</v>
      </c>
      <c r="CQ230" s="375" t="s">
        <v>112</v>
      </c>
      <c r="CR230" s="375" t="s">
        <v>113</v>
      </c>
      <c r="CS230" s="375" t="s">
        <v>114</v>
      </c>
      <c r="CT230" s="375" t="s">
        <v>108</v>
      </c>
      <c r="CU230" s="375" t="s">
        <v>115</v>
      </c>
      <c r="CV230" s="375" t="s">
        <v>104</v>
      </c>
      <c r="CW230" s="379" t="s">
        <v>105</v>
      </c>
      <c r="CX230" s="374" t="s">
        <v>105</v>
      </c>
      <c r="CY230" s="374" t="s">
        <v>112</v>
      </c>
      <c r="DA230" s="274">
        <f>IF($D$67=CO230,9,0)</f>
        <v>0</v>
      </c>
      <c r="DC230" s="3"/>
      <c r="DG230" s="5"/>
      <c r="DH230" s="3"/>
    </row>
    <row r="231" spans="93:112" ht="15" thickBot="1">
      <c r="CO231" s="373">
        <v>900000</v>
      </c>
      <c r="CP231" s="374" t="s">
        <v>116</v>
      </c>
      <c r="CQ231" s="375" t="s">
        <v>116</v>
      </c>
      <c r="CR231" s="375" t="s">
        <v>112</v>
      </c>
      <c r="CS231" s="375" t="s">
        <v>112</v>
      </c>
      <c r="CT231" s="375" t="s">
        <v>113</v>
      </c>
      <c r="CU231" s="375" t="s">
        <v>107</v>
      </c>
      <c r="CV231" s="375" t="s">
        <v>107</v>
      </c>
      <c r="CW231" s="379" t="s">
        <v>108</v>
      </c>
      <c r="CX231" s="374" t="s">
        <v>108</v>
      </c>
      <c r="CY231" s="374" t="s">
        <v>116</v>
      </c>
      <c r="DA231" s="274">
        <f>IF($D$67=CO231,10,0)</f>
        <v>0</v>
      </c>
      <c r="DC231" s="3"/>
      <c r="DG231" s="5"/>
      <c r="DH231" s="3"/>
    </row>
    <row r="232" spans="93:112" ht="15" thickBot="1">
      <c r="CO232" s="373">
        <v>1500000</v>
      </c>
      <c r="CP232" s="374" t="s">
        <v>117</v>
      </c>
      <c r="CQ232" s="375" t="s">
        <v>117</v>
      </c>
      <c r="CR232" s="375" t="s">
        <v>118</v>
      </c>
      <c r="CS232" s="376" t="s">
        <v>119</v>
      </c>
      <c r="CT232" s="376" t="s">
        <v>112</v>
      </c>
      <c r="CU232" s="376" t="s">
        <v>113</v>
      </c>
      <c r="CV232" s="376" t="s">
        <v>113</v>
      </c>
      <c r="CW232" s="377" t="s">
        <v>107</v>
      </c>
      <c r="CX232" s="378" t="s">
        <v>107</v>
      </c>
      <c r="CY232" s="374" t="s">
        <v>117</v>
      </c>
      <c r="DA232" s="274">
        <f>IF($D$67=CO232,11,0)</f>
        <v>0</v>
      </c>
      <c r="DC232" s="3"/>
      <c r="DG232" s="5"/>
      <c r="DH232" s="3"/>
    </row>
    <row r="233" spans="94:112" ht="16.5" customHeight="1" thickBot="1">
      <c r="CP233" s="274">
        <f>IF(CU239=CP221,1,0)</f>
        <v>0</v>
      </c>
      <c r="CQ233" s="274">
        <f>IF(CU240=CQ221,2,0)</f>
        <v>0</v>
      </c>
      <c r="CR233" s="274">
        <f>IF(CU241=CR221,3,0)</f>
        <v>0</v>
      </c>
      <c r="CS233" s="274">
        <f>IF(CU242=CS221,4,0)</f>
        <v>0</v>
      </c>
      <c r="CT233" s="274">
        <f>IF(CU243=CT221,5,0)</f>
        <v>0</v>
      </c>
      <c r="CU233" s="274">
        <f>IF(CU244=CU221,6,0)</f>
        <v>0</v>
      </c>
      <c r="CV233" s="274">
        <f>IF(CU245=CV221,7,0)</f>
        <v>0</v>
      </c>
      <c r="CW233" s="274">
        <f>IF(CU246=CW221,8,0)</f>
        <v>0</v>
      </c>
      <c r="CX233" s="274">
        <f>IF(CU247=CX221,9,0)</f>
        <v>0</v>
      </c>
      <c r="CY233" s="258">
        <f>IF(CV248=0,10,0)</f>
        <v>10</v>
      </c>
      <c r="CZ233" s="3">
        <f>SUM(CP233:CY233)</f>
        <v>10</v>
      </c>
      <c r="DA233" s="3">
        <f>SUM(DA222:DA232)</f>
        <v>3</v>
      </c>
      <c r="DB233" s="299" t="str">
        <f>INDEX(CP222:CY232,DA233,CZ233)</f>
        <v>1,00</v>
      </c>
      <c r="DC233" s="3"/>
      <c r="DG233" s="5"/>
      <c r="DH233" s="3"/>
    </row>
    <row r="234" spans="93:100" ht="3" customHeight="1" thickBot="1">
      <c r="CO234" s="340"/>
      <c r="CP234" s="340"/>
      <c r="CQ234" s="340"/>
      <c r="CR234" s="340"/>
      <c r="CS234" s="340"/>
      <c r="CT234" s="340"/>
      <c r="CU234" s="340"/>
      <c r="CV234" s="340"/>
    </row>
    <row r="235" spans="93:100" ht="15" thickBot="1">
      <c r="CO235" s="340"/>
      <c r="CP235" s="340"/>
      <c r="CQ235" s="340"/>
      <c r="CR235" s="380" t="str">
        <f>DB233</f>
        <v>1,00</v>
      </c>
      <c r="CS235" s="359">
        <v>3</v>
      </c>
      <c r="CT235" s="340"/>
      <c r="CU235" s="340"/>
      <c r="CV235" s="340"/>
    </row>
    <row r="236" ht="15" thickBot="1"/>
    <row r="237" spans="93:97" ht="15" thickBot="1">
      <c r="CO237" s="381" t="s">
        <v>120</v>
      </c>
      <c r="CP237" s="618" t="s">
        <v>122</v>
      </c>
      <c r="CQ237" s="340"/>
      <c r="CR237" s="340" t="s">
        <v>4</v>
      </c>
      <c r="CS237" s="359"/>
    </row>
    <row r="238" spans="93:97" ht="15" thickBot="1">
      <c r="CO238" s="382" t="s">
        <v>121</v>
      </c>
      <c r="CP238" s="619"/>
      <c r="CQ238" s="340"/>
      <c r="CR238" s="383">
        <f>CR239*CR240*CR241*CR242*CR243*CR244*CR245*CR246*CR247</f>
        <v>1</v>
      </c>
      <c r="CS238" s="359">
        <v>4</v>
      </c>
    </row>
    <row r="239" spans="93:103" ht="39" thickBot="1">
      <c r="CO239" s="370" t="s">
        <v>5</v>
      </c>
      <c r="CP239" s="384" t="s">
        <v>86</v>
      </c>
      <c r="CQ239" s="340"/>
      <c r="CR239" s="340">
        <f>IF(CU239=CO239,CP239,1)</f>
        <v>1</v>
      </c>
      <c r="CS239" s="385"/>
      <c r="CU239" s="386">
        <f aca="true" t="shared" si="112" ref="CU239:CU246">IF(CV239=CW239,CV239,1)</f>
        <v>1</v>
      </c>
      <c r="CV239" s="387">
        <f>IF($CY$239&gt;=1,CO239,1)</f>
        <v>1</v>
      </c>
      <c r="CW239" s="342" t="str">
        <f>IF($CY$239&lt;3000000,CO239,1)</f>
        <v>1-2999999</v>
      </c>
      <c r="CY239" s="388">
        <f>Y71</f>
        <v>0</v>
      </c>
    </row>
    <row r="240" spans="93:101" ht="51.75" thickBot="1">
      <c r="CO240" s="370" t="s">
        <v>123</v>
      </c>
      <c r="CP240" s="384" t="s">
        <v>87</v>
      </c>
      <c r="CQ240" s="340"/>
      <c r="CR240" s="340">
        <f aca="true" t="shared" si="113" ref="CR240:CR246">IF(CU240=CO240,CP240,1)</f>
        <v>1</v>
      </c>
      <c r="CU240" s="386">
        <f t="shared" si="112"/>
        <v>1</v>
      </c>
      <c r="CV240" s="387">
        <f>IF($CY$239&gt;=3000000,CO240,1)</f>
        <v>1</v>
      </c>
      <c r="CW240" s="342" t="str">
        <f>IF($CY$239&lt;7500000,CO240,1)</f>
        <v>3 000 000 – 7 499 999</v>
      </c>
    </row>
    <row r="241" spans="93:101" ht="51.75" thickBot="1">
      <c r="CO241" s="370" t="s">
        <v>124</v>
      </c>
      <c r="CP241" s="384" t="s">
        <v>125</v>
      </c>
      <c r="CQ241" s="340"/>
      <c r="CR241" s="340">
        <f t="shared" si="113"/>
        <v>1</v>
      </c>
      <c r="CS241" s="385"/>
      <c r="CU241" s="386">
        <f t="shared" si="112"/>
        <v>1</v>
      </c>
      <c r="CV241" s="387">
        <f>IF($CY$239&gt;=7500000,CO241,1)</f>
        <v>1</v>
      </c>
      <c r="CW241" s="342" t="str">
        <f>IF($CY$239&lt;15000000,CO241,1)</f>
        <v>7 500 000 – 14 999 999</v>
      </c>
    </row>
    <row r="242" spans="93:101" ht="51.75" thickBot="1">
      <c r="CO242" s="370" t="s">
        <v>126</v>
      </c>
      <c r="CP242" s="384" t="s">
        <v>127</v>
      </c>
      <c r="CQ242" s="340"/>
      <c r="CR242" s="340">
        <f t="shared" si="113"/>
        <v>1</v>
      </c>
      <c r="CS242" s="385"/>
      <c r="CU242" s="386">
        <f t="shared" si="112"/>
        <v>1</v>
      </c>
      <c r="CV242" s="387">
        <f>IF($CY$239&gt;=15000000,CO242,1)</f>
        <v>1</v>
      </c>
      <c r="CW242" s="342" t="str">
        <f>IF($CY$239&lt;30000000,CO242,1)</f>
        <v>15 000 000-  29 999 999</v>
      </c>
    </row>
    <row r="243" spans="93:101" ht="51.75" thickBot="1">
      <c r="CO243" s="370" t="s">
        <v>128</v>
      </c>
      <c r="CP243" s="384" t="s">
        <v>129</v>
      </c>
      <c r="CQ243" s="340"/>
      <c r="CR243" s="340">
        <f t="shared" si="113"/>
        <v>1</v>
      </c>
      <c r="CS243" s="385"/>
      <c r="CU243" s="389">
        <f t="shared" si="112"/>
        <v>1</v>
      </c>
      <c r="CV243" s="387">
        <f>IF($CY$239&gt;=30000000,CO243,1)</f>
        <v>1</v>
      </c>
      <c r="CW243" s="342" t="str">
        <f>IF($CY$239&lt;60000000,CO243,1)</f>
        <v>30 000 000- 59 999 999</v>
      </c>
    </row>
    <row r="244" spans="93:101" ht="51.75" thickBot="1">
      <c r="CO244" s="370" t="s">
        <v>130</v>
      </c>
      <c r="CP244" s="384" t="s">
        <v>99</v>
      </c>
      <c r="CQ244" s="340"/>
      <c r="CR244" s="340">
        <f t="shared" si="113"/>
        <v>1</v>
      </c>
      <c r="CS244" s="385"/>
      <c r="CU244" s="386">
        <f t="shared" si="112"/>
        <v>1</v>
      </c>
      <c r="CV244" s="387">
        <f>IF($CY$239&gt;=60000000,CO244,1)</f>
        <v>1</v>
      </c>
      <c r="CW244" s="342" t="str">
        <f>IF($CY$239&lt;150000000,CO244,1)</f>
        <v>60 000 000 – 149 999 999</v>
      </c>
    </row>
    <row r="245" spans="93:101" ht="51.75" thickBot="1">
      <c r="CO245" s="370" t="s">
        <v>131</v>
      </c>
      <c r="CP245" s="384" t="s">
        <v>111</v>
      </c>
      <c r="CQ245" s="340"/>
      <c r="CR245" s="340">
        <f t="shared" si="113"/>
        <v>1</v>
      </c>
      <c r="CS245" s="385"/>
      <c r="CU245" s="389">
        <f t="shared" si="112"/>
        <v>1</v>
      </c>
      <c r="CV245" s="387">
        <f>IF($CY$239&gt;=150000000,CO245,1)</f>
        <v>1</v>
      </c>
      <c r="CW245" s="342" t="str">
        <f>IF($CY$239&lt;300000000,CO245,1)</f>
        <v>150 000 000 – 299 999 999</v>
      </c>
    </row>
    <row r="246" spans="93:101" ht="64.5" thickBot="1">
      <c r="CO246" s="370" t="s">
        <v>132</v>
      </c>
      <c r="CP246" s="384" t="s">
        <v>133</v>
      </c>
      <c r="CQ246" s="340"/>
      <c r="CR246" s="340">
        <f t="shared" si="113"/>
        <v>1</v>
      </c>
      <c r="CS246" s="385"/>
      <c r="CU246" s="386">
        <f t="shared" si="112"/>
        <v>1</v>
      </c>
      <c r="CV246" s="387">
        <f>IF($CY$239&gt;=300000000,CO246,1)</f>
        <v>1</v>
      </c>
      <c r="CW246" s="342" t="str">
        <f>IF($CY$239&lt;600000000,CO246,1)</f>
        <v>300 000 000 – 599 999 999</v>
      </c>
    </row>
    <row r="247" spans="1:101" ht="39" thickBo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CO247" s="370" t="s">
        <v>134</v>
      </c>
      <c r="CP247" s="384" t="s">
        <v>104</v>
      </c>
      <c r="CQ247" s="340"/>
      <c r="CR247" s="340">
        <f>IF(CU247=CO247,CP247,1)</f>
        <v>1</v>
      </c>
      <c r="CS247" s="385"/>
      <c r="CU247" s="386">
        <f>IF(CV247=CW247,CV247,1)</f>
        <v>1</v>
      </c>
      <c r="CV247" s="387">
        <f>IF($CY$239&gt;=600000000,CO247,1)</f>
        <v>1</v>
      </c>
      <c r="CW247" s="342" t="str">
        <f>IF($CY$239&lt;9E+22,CO247,1)</f>
        <v>&gt; = 600 000 000</v>
      </c>
    </row>
    <row r="248" spans="1:128" s="182" customFormat="1" ht="15" thickBo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M248" s="390"/>
      <c r="N248" s="183"/>
      <c r="O248" s="183"/>
      <c r="P248" s="183"/>
      <c r="Q248" s="183"/>
      <c r="R248" s="183"/>
      <c r="S248" s="183"/>
      <c r="T248" s="111"/>
      <c r="U248" s="111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83"/>
      <c r="AT248" s="183"/>
      <c r="AU248" s="183"/>
      <c r="AV248" s="183"/>
      <c r="AW248" s="183"/>
      <c r="AX248" s="183"/>
      <c r="AY248" s="183"/>
      <c r="AZ248" s="183"/>
      <c r="BA248" s="183"/>
      <c r="BB248" s="183"/>
      <c r="BC248" s="183"/>
      <c r="BD248" s="183"/>
      <c r="BE248" s="183"/>
      <c r="BF248" s="183"/>
      <c r="BG248" s="183"/>
      <c r="BH248" s="183"/>
      <c r="BI248" s="183"/>
      <c r="BJ248" s="183"/>
      <c r="BK248" s="183"/>
      <c r="CL248" s="391"/>
      <c r="CM248" s="183"/>
      <c r="CN248" s="392"/>
      <c r="CO248" s="392">
        <v>0</v>
      </c>
      <c r="CP248" s="392"/>
      <c r="CQ248" s="393"/>
      <c r="CV248" s="387">
        <f>IF($CY$239=0,CO248,1)</f>
        <v>0</v>
      </c>
      <c r="DC248" s="183"/>
      <c r="DH248" s="183"/>
      <c r="DX248" s="394"/>
    </row>
    <row r="249" spans="1:97" ht="64.5" thickBo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Q249" s="550" t="s">
        <v>68</v>
      </c>
      <c r="R249" s="28">
        <f>Z6</f>
        <v>1</v>
      </c>
      <c r="S249" s="5">
        <v>1</v>
      </c>
      <c r="T249" s="636">
        <f>CU256</f>
        <v>1</v>
      </c>
      <c r="U249" s="637"/>
      <c r="CO249" s="395" t="s">
        <v>135</v>
      </c>
      <c r="CP249" s="396" t="s">
        <v>136</v>
      </c>
      <c r="CQ249" s="340"/>
      <c r="CR249" s="397">
        <f>CU256</f>
        <v>1</v>
      </c>
      <c r="CS249" s="359">
        <v>5</v>
      </c>
    </row>
    <row r="250" spans="1:104" ht="15" thickBo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Q250" s="551"/>
      <c r="R250" s="28">
        <f aca="true" t="shared" si="114" ref="R250:R255">Z7</f>
        <v>1</v>
      </c>
      <c r="S250" s="5">
        <v>2</v>
      </c>
      <c r="T250" s="636">
        <f>CU263</f>
        <v>1</v>
      </c>
      <c r="U250" s="637"/>
      <c r="CN250" s="398"/>
      <c r="CO250" s="399" t="s">
        <v>137</v>
      </c>
      <c r="CP250" s="400" t="s">
        <v>138</v>
      </c>
      <c r="CQ250" s="401"/>
      <c r="CR250" s="401"/>
      <c r="CS250" s="401"/>
      <c r="CT250" s="402">
        <v>1</v>
      </c>
      <c r="CU250" s="403">
        <f>CV250</f>
        <v>1</v>
      </c>
      <c r="CV250" s="404">
        <f>IF(CY250&lt;20%,CP250,1)</f>
        <v>1</v>
      </c>
      <c r="CW250" s="405"/>
      <c r="CX250" s="402"/>
      <c r="CY250" s="406">
        <f>R249</f>
        <v>1</v>
      </c>
      <c r="CZ250" s="407" t="s">
        <v>162</v>
      </c>
    </row>
    <row r="251" spans="1:104" ht="15" thickBo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Q251" s="551"/>
      <c r="R251" s="28">
        <f t="shared" si="114"/>
        <v>1</v>
      </c>
      <c r="S251" s="5">
        <v>3</v>
      </c>
      <c r="T251" s="636">
        <f>CU270</f>
        <v>1</v>
      </c>
      <c r="U251" s="637"/>
      <c r="CN251" s="408"/>
      <c r="CO251" s="382" t="s">
        <v>139</v>
      </c>
      <c r="CP251" s="384" t="s">
        <v>140</v>
      </c>
      <c r="CQ251" s="368"/>
      <c r="CR251" s="368"/>
      <c r="CS251" s="368"/>
      <c r="CT251" s="10"/>
      <c r="CU251" s="409">
        <f>IF(CV251=CW251,CV251,1)</f>
        <v>1</v>
      </c>
      <c r="CV251" s="342" t="str">
        <f>IF(CY250&gt;=20%,CP251,1)</f>
        <v>1,81</v>
      </c>
      <c r="CW251" s="410">
        <f>IF(CY250&lt;40%,CP251,1)</f>
        <v>1</v>
      </c>
      <c r="CX251" s="10"/>
      <c r="CY251" s="10"/>
      <c r="CZ251" s="411"/>
    </row>
    <row r="252" spans="1:104" ht="15" thickBo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Q252" s="551"/>
      <c r="R252" s="28">
        <f t="shared" si="114"/>
        <v>1</v>
      </c>
      <c r="S252" s="5">
        <v>4</v>
      </c>
      <c r="T252" s="636">
        <f>CU277</f>
        <v>1</v>
      </c>
      <c r="U252" s="637"/>
      <c r="CN252" s="408"/>
      <c r="CO252" s="382" t="s">
        <v>141</v>
      </c>
      <c r="CP252" s="384" t="s">
        <v>142</v>
      </c>
      <c r="CQ252" s="368"/>
      <c r="CR252" s="368"/>
      <c r="CS252" s="368"/>
      <c r="CT252" s="10"/>
      <c r="CU252" s="409">
        <f>IF(CV252=CW252,CV252,1)</f>
        <v>1</v>
      </c>
      <c r="CV252" s="342" t="str">
        <f>IF(CY250&gt;=40%,CP252,1)</f>
        <v>1,54</v>
      </c>
      <c r="CW252" s="410">
        <f>IF(CY250&lt;60%,CP252,1)</f>
        <v>1</v>
      </c>
      <c r="CX252" s="10"/>
      <c r="CY252" s="10"/>
      <c r="CZ252" s="411"/>
    </row>
    <row r="253" spans="1:104" ht="15" thickBo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Q253" s="551"/>
      <c r="R253" s="28">
        <f t="shared" si="114"/>
        <v>1</v>
      </c>
      <c r="S253" s="5">
        <v>5</v>
      </c>
      <c r="T253" s="636">
        <f>CU284</f>
        <v>1</v>
      </c>
      <c r="U253" s="637"/>
      <c r="CN253" s="408"/>
      <c r="CO253" s="382" t="s">
        <v>143</v>
      </c>
      <c r="CP253" s="384" t="s">
        <v>90</v>
      </c>
      <c r="CQ253" s="368"/>
      <c r="CR253" s="368"/>
      <c r="CS253" s="368"/>
      <c r="CT253" s="10"/>
      <c r="CU253" s="409">
        <f>IF(CV253=CW253,CV253,1)</f>
        <v>1</v>
      </c>
      <c r="CV253" s="342" t="str">
        <f>IF(CY250&gt;=60%,CP253,1)</f>
        <v>1,2</v>
      </c>
      <c r="CW253" s="410">
        <f>IF(CY250&lt;80%,CP253,1)</f>
        <v>1</v>
      </c>
      <c r="CX253" s="10"/>
      <c r="CY253" s="10"/>
      <c r="CZ253" s="411"/>
    </row>
    <row r="254" spans="1:104" ht="15" thickBo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Q254" s="552"/>
      <c r="R254" s="28">
        <f t="shared" si="114"/>
        <v>1</v>
      </c>
      <c r="S254" s="5">
        <v>6</v>
      </c>
      <c r="T254" s="636">
        <f>CU291</f>
        <v>1</v>
      </c>
      <c r="U254" s="637"/>
      <c r="CN254" s="408"/>
      <c r="CO254" s="382" t="s">
        <v>144</v>
      </c>
      <c r="CP254" s="384" t="s">
        <v>125</v>
      </c>
      <c r="CQ254" s="368"/>
      <c r="CR254" s="368"/>
      <c r="CS254" s="368"/>
      <c r="CT254" s="10"/>
      <c r="CU254" s="412" t="str">
        <f>IF(CV254=CW254,CV254,1)</f>
        <v>1</v>
      </c>
      <c r="CV254" s="413" t="str">
        <f>IF(CY250&gt;=80%,CP254,1)</f>
        <v>1</v>
      </c>
      <c r="CW254" s="414" t="str">
        <f>IF(CY250&lt;=100%,CP254,1)</f>
        <v>1</v>
      </c>
      <c r="CX254" s="10"/>
      <c r="CY254" s="10"/>
      <c r="CZ254" s="411"/>
    </row>
    <row r="255" spans="1:104" ht="15" customHeight="1" thickBo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Q255" s="550" t="s">
        <v>69</v>
      </c>
      <c r="R255" s="28">
        <f t="shared" si="114"/>
        <v>1</v>
      </c>
      <c r="S255" s="5">
        <v>7</v>
      </c>
      <c r="T255" s="636">
        <f>CU298</f>
        <v>1</v>
      </c>
      <c r="U255" s="637"/>
      <c r="CN255" s="408"/>
      <c r="CO255" s="156"/>
      <c r="CP255" s="156"/>
      <c r="CQ255" s="157"/>
      <c r="CR255" s="10"/>
      <c r="CS255" s="10"/>
      <c r="CT255" s="10"/>
      <c r="CU255" s="415"/>
      <c r="CV255" s="10"/>
      <c r="CW255" s="411"/>
      <c r="CX255" s="10"/>
      <c r="CY255" s="10"/>
      <c r="CZ255" s="411"/>
    </row>
    <row r="256" spans="1:104" s="5" customFormat="1" ht="15" thickBo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M256" s="4"/>
      <c r="Q256" s="551"/>
      <c r="R256" s="28">
        <f aca="true" t="shared" si="115" ref="R256:R262">Z13</f>
        <v>1</v>
      </c>
      <c r="S256" s="5">
        <v>8</v>
      </c>
      <c r="T256" s="636">
        <f>CU305</f>
        <v>1</v>
      </c>
      <c r="U256" s="637"/>
      <c r="CL256" s="6"/>
      <c r="CN256" s="416"/>
      <c r="CO256" s="157"/>
      <c r="CP256" s="157"/>
      <c r="CQ256" s="157"/>
      <c r="CR256" s="111"/>
      <c r="CS256" s="111"/>
      <c r="CT256" s="111"/>
      <c r="CU256" s="417">
        <f>CU250*CU251*CU252*CU253*CU254</f>
        <v>1</v>
      </c>
      <c r="CV256" s="227"/>
      <c r="CW256" s="418"/>
      <c r="CX256" s="111"/>
      <c r="CY256" s="111"/>
      <c r="CZ256" s="419"/>
    </row>
    <row r="257" spans="1:104" s="5" customFormat="1" ht="15" thickBot="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M257" s="4"/>
      <c r="Q257" s="551"/>
      <c r="R257" s="28">
        <f t="shared" si="115"/>
        <v>1</v>
      </c>
      <c r="S257" s="5">
        <v>9</v>
      </c>
      <c r="T257" s="636">
        <f>CU312</f>
        <v>1</v>
      </c>
      <c r="U257" s="637"/>
      <c r="CL257" s="6"/>
      <c r="CN257" s="416"/>
      <c r="CO257" s="382" t="s">
        <v>137</v>
      </c>
      <c r="CP257" s="384" t="s">
        <v>138</v>
      </c>
      <c r="CQ257" s="157"/>
      <c r="CR257" s="111"/>
      <c r="CS257" s="111"/>
      <c r="CT257" s="111">
        <v>2</v>
      </c>
      <c r="CU257" s="420">
        <f>CV257</f>
        <v>1</v>
      </c>
      <c r="CV257" s="421">
        <f>IF(CY257&lt;20%,CP257,1)</f>
        <v>1</v>
      </c>
      <c r="CW257" s="422"/>
      <c r="CX257" s="10"/>
      <c r="CY257" s="406">
        <f>R250</f>
        <v>1</v>
      </c>
      <c r="CZ257" s="423" t="s">
        <v>162</v>
      </c>
    </row>
    <row r="258" spans="1:104" s="5" customFormat="1" ht="15" thickBo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M258" s="4"/>
      <c r="Q258" s="551"/>
      <c r="R258" s="28">
        <f t="shared" si="115"/>
        <v>1</v>
      </c>
      <c r="S258" s="5">
        <v>10</v>
      </c>
      <c r="T258" s="636">
        <f>CU319</f>
        <v>1</v>
      </c>
      <c r="U258" s="637"/>
      <c r="CL258" s="6"/>
      <c r="CN258" s="416"/>
      <c r="CO258" s="382" t="s">
        <v>139</v>
      </c>
      <c r="CP258" s="384" t="s">
        <v>140</v>
      </c>
      <c r="CQ258" s="157"/>
      <c r="CR258" s="111"/>
      <c r="CS258" s="111"/>
      <c r="CT258" s="111"/>
      <c r="CU258" s="409">
        <f>IF(CV258=CW258,CV258,1)</f>
        <v>1</v>
      </c>
      <c r="CV258" s="342" t="str">
        <f>IF(CY257&gt;=20%,CP258,1)</f>
        <v>1,81</v>
      </c>
      <c r="CW258" s="410">
        <f>IF(CY257&lt;40%,CP258,1)</f>
        <v>1</v>
      </c>
      <c r="CX258" s="10"/>
      <c r="CY258" s="10"/>
      <c r="CZ258" s="411"/>
    </row>
    <row r="259" spans="1:104" s="5" customFormat="1" ht="15" thickBo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M259" s="4"/>
      <c r="Q259" s="552"/>
      <c r="R259" s="28">
        <f t="shared" si="115"/>
        <v>1</v>
      </c>
      <c r="S259" s="5">
        <v>11</v>
      </c>
      <c r="T259" s="636">
        <f>CU326</f>
        <v>1</v>
      </c>
      <c r="U259" s="637"/>
      <c r="CL259" s="6"/>
      <c r="CN259" s="416"/>
      <c r="CO259" s="382" t="s">
        <v>141</v>
      </c>
      <c r="CP259" s="384" t="s">
        <v>142</v>
      </c>
      <c r="CQ259" s="157"/>
      <c r="CR259" s="111"/>
      <c r="CS259" s="111"/>
      <c r="CT259" s="111"/>
      <c r="CU259" s="409">
        <f>IF(CV259=CW259,CV259,1)</f>
        <v>1</v>
      </c>
      <c r="CV259" s="342" t="str">
        <f>IF(CY257&gt;=40%,CP259,1)</f>
        <v>1,54</v>
      </c>
      <c r="CW259" s="410">
        <f>IF(CY257&lt;60%,CP259,1)</f>
        <v>1</v>
      </c>
      <c r="CX259" s="10"/>
      <c r="CY259" s="10"/>
      <c r="CZ259" s="411"/>
    </row>
    <row r="260" spans="1:104" s="5" customFormat="1" ht="15" thickBo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M260" s="4"/>
      <c r="Q260" s="579" t="s">
        <v>70</v>
      </c>
      <c r="R260" s="28">
        <f t="shared" si="115"/>
        <v>1</v>
      </c>
      <c r="S260" s="5">
        <v>12</v>
      </c>
      <c r="T260" s="636">
        <f>CU333</f>
        <v>1</v>
      </c>
      <c r="U260" s="637"/>
      <c r="CL260" s="6"/>
      <c r="CN260" s="416"/>
      <c r="CO260" s="382" t="s">
        <v>143</v>
      </c>
      <c r="CP260" s="384" t="s">
        <v>90</v>
      </c>
      <c r="CQ260" s="157"/>
      <c r="CR260" s="111"/>
      <c r="CS260" s="111"/>
      <c r="CT260" s="111"/>
      <c r="CU260" s="409">
        <f>IF(CV260=CW260,CV260,1)</f>
        <v>1</v>
      </c>
      <c r="CV260" s="342" t="str">
        <f>IF(CY257&gt;=60%,CP260,1)</f>
        <v>1,2</v>
      </c>
      <c r="CW260" s="410">
        <f>IF(CY257&lt;80%,CP260,1)</f>
        <v>1</v>
      </c>
      <c r="CX260" s="10"/>
      <c r="CY260" s="10"/>
      <c r="CZ260" s="411"/>
    </row>
    <row r="261" spans="1:104" s="5" customFormat="1" ht="15" thickBo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M261" s="4"/>
      <c r="Q261" s="578"/>
      <c r="R261" s="28">
        <f t="shared" si="115"/>
        <v>1</v>
      </c>
      <c r="S261" s="5">
        <v>13</v>
      </c>
      <c r="T261" s="636">
        <f>CU340</f>
        <v>1</v>
      </c>
      <c r="U261" s="637"/>
      <c r="CL261" s="6"/>
      <c r="CN261" s="416"/>
      <c r="CO261" s="382" t="s">
        <v>144</v>
      </c>
      <c r="CP261" s="384" t="s">
        <v>125</v>
      </c>
      <c r="CQ261" s="157"/>
      <c r="CR261" s="111"/>
      <c r="CS261" s="111"/>
      <c r="CT261" s="111"/>
      <c r="CU261" s="412">
        <f>IF(CV261=CW261,CV261,1)</f>
        <v>1</v>
      </c>
      <c r="CV261" s="342" t="str">
        <f>IF(CY257&gt;=80%,CP261,1)</f>
        <v>1</v>
      </c>
      <c r="CW261" s="410">
        <f>IF(CY257&lt;100%,CP261,1)</f>
        <v>1</v>
      </c>
      <c r="CX261" s="10"/>
      <c r="CY261" s="10"/>
      <c r="CZ261" s="411"/>
    </row>
    <row r="262" spans="1:104" s="5" customFormat="1" ht="15" thickBo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M262" s="4"/>
      <c r="Q262" s="580"/>
      <c r="R262" s="28">
        <f t="shared" si="115"/>
        <v>1</v>
      </c>
      <c r="S262" s="5">
        <v>14</v>
      </c>
      <c r="T262" s="638">
        <f>CU347</f>
        <v>1</v>
      </c>
      <c r="U262" s="639"/>
      <c r="CL262" s="6"/>
      <c r="CN262" s="416"/>
      <c r="CO262" s="157"/>
      <c r="CP262" s="157"/>
      <c r="CQ262" s="157"/>
      <c r="CR262" s="111"/>
      <c r="CS262" s="111"/>
      <c r="CT262" s="111"/>
      <c r="CU262" s="424"/>
      <c r="CV262" s="10"/>
      <c r="CW262" s="411"/>
      <c r="CX262" s="10"/>
      <c r="CY262" s="10"/>
      <c r="CZ262" s="411"/>
    </row>
    <row r="263" spans="1:104" s="5" customFormat="1" ht="15" thickBo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M263" s="4"/>
      <c r="CL263" s="6"/>
      <c r="CN263" s="416"/>
      <c r="CO263" s="157"/>
      <c r="CP263" s="157"/>
      <c r="CQ263" s="157"/>
      <c r="CR263" s="111"/>
      <c r="CS263" s="111"/>
      <c r="CT263" s="111"/>
      <c r="CU263" s="297">
        <f>CU257*CU258*CU259*CU260*CU261</f>
        <v>1</v>
      </c>
      <c r="CV263" s="227"/>
      <c r="CW263" s="418"/>
      <c r="CX263" s="111"/>
      <c r="CY263" s="111"/>
      <c r="CZ263" s="419"/>
    </row>
    <row r="264" spans="1:104" s="5" customFormat="1" ht="15" thickBo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M264" s="4"/>
      <c r="CL264" s="6"/>
      <c r="CN264" s="416"/>
      <c r="CO264" s="382" t="s">
        <v>137</v>
      </c>
      <c r="CP264" s="384" t="s">
        <v>138</v>
      </c>
      <c r="CQ264" s="157"/>
      <c r="CR264" s="111"/>
      <c r="CS264" s="111"/>
      <c r="CT264" s="111">
        <v>3</v>
      </c>
      <c r="CU264" s="403">
        <f>CV264</f>
        <v>1</v>
      </c>
      <c r="CV264" s="404">
        <f>IF(CY264&lt;20%,CP264,1)</f>
        <v>1</v>
      </c>
      <c r="CW264" s="405"/>
      <c r="CX264" s="10"/>
      <c r="CY264" s="406">
        <f>R251</f>
        <v>1</v>
      </c>
      <c r="CZ264" s="423" t="s">
        <v>162</v>
      </c>
    </row>
    <row r="265" spans="1:104" s="5" customFormat="1" ht="15" thickBo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M265" s="4"/>
      <c r="CL265" s="6"/>
      <c r="CN265" s="416"/>
      <c r="CO265" s="382" t="s">
        <v>139</v>
      </c>
      <c r="CP265" s="384" t="s">
        <v>140</v>
      </c>
      <c r="CQ265" s="157"/>
      <c r="CR265" s="111"/>
      <c r="CS265" s="111"/>
      <c r="CT265" s="111"/>
      <c r="CU265" s="409">
        <f>IF(CV265=CW265,CV265,1)</f>
        <v>1</v>
      </c>
      <c r="CV265" s="342" t="str">
        <f>IF(CY264&gt;=20%,CP265,1)</f>
        <v>1,81</v>
      </c>
      <c r="CW265" s="410">
        <f>IF(CY264&lt;40%,CP265,1)</f>
        <v>1</v>
      </c>
      <c r="CX265" s="10"/>
      <c r="CY265" s="10"/>
      <c r="CZ265" s="411"/>
    </row>
    <row r="266" spans="1:104" s="5" customFormat="1" ht="15" thickBo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M266" s="4"/>
      <c r="CL266" s="6"/>
      <c r="CN266" s="416"/>
      <c r="CO266" s="382" t="s">
        <v>141</v>
      </c>
      <c r="CP266" s="384" t="s">
        <v>142</v>
      </c>
      <c r="CQ266" s="157"/>
      <c r="CR266" s="111"/>
      <c r="CS266" s="111"/>
      <c r="CT266" s="111"/>
      <c r="CU266" s="409">
        <f>IF(CV266=CW266,CV266,1)</f>
        <v>1</v>
      </c>
      <c r="CV266" s="342" t="str">
        <f>IF(CY264&gt;=40%,CP266,1)</f>
        <v>1,54</v>
      </c>
      <c r="CW266" s="410">
        <f>IF(CY264&lt;60%,CP266,1)</f>
        <v>1</v>
      </c>
      <c r="CX266" s="10"/>
      <c r="CY266" s="10"/>
      <c r="CZ266" s="411"/>
    </row>
    <row r="267" spans="1:104" s="5" customFormat="1" ht="15" thickBo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M267" s="4"/>
      <c r="CL267" s="6"/>
      <c r="CN267" s="416"/>
      <c r="CO267" s="382" t="s">
        <v>143</v>
      </c>
      <c r="CP267" s="384" t="s">
        <v>90</v>
      </c>
      <c r="CQ267" s="157"/>
      <c r="CR267" s="111"/>
      <c r="CS267" s="111"/>
      <c r="CT267" s="111"/>
      <c r="CU267" s="409">
        <f>IF(CV267=CW267,CV267,1)</f>
        <v>1</v>
      </c>
      <c r="CV267" s="342" t="str">
        <f>IF(CY264&gt;=60%,CP267,1)</f>
        <v>1,2</v>
      </c>
      <c r="CW267" s="410">
        <f>IF(CY264&lt;80%,CP267,1)</f>
        <v>1</v>
      </c>
      <c r="CX267" s="10"/>
      <c r="CY267" s="10"/>
      <c r="CZ267" s="411"/>
    </row>
    <row r="268" spans="1:104" s="5" customFormat="1" ht="15" thickBo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M268" s="4"/>
      <c r="CL268" s="6"/>
      <c r="CN268" s="416"/>
      <c r="CO268" s="382" t="s">
        <v>144</v>
      </c>
      <c r="CP268" s="384" t="s">
        <v>125</v>
      </c>
      <c r="CQ268" s="157"/>
      <c r="CR268" s="111"/>
      <c r="CS268" s="111"/>
      <c r="CT268" s="111"/>
      <c r="CU268" s="412">
        <f>IF(CV268=CW268,CV268,1)</f>
        <v>1</v>
      </c>
      <c r="CV268" s="342" t="str">
        <f>IF(CY264&gt;=80%,CP268,1)</f>
        <v>1</v>
      </c>
      <c r="CW268" s="410">
        <f>IF(CY264&lt;100%,CP268,1)</f>
        <v>1</v>
      </c>
      <c r="CX268" s="10"/>
      <c r="CY268" s="10"/>
      <c r="CZ268" s="411"/>
    </row>
    <row r="269" spans="1:104" s="5" customFormat="1" ht="15" thickBo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M269" s="4"/>
      <c r="CL269" s="6"/>
      <c r="CN269" s="416"/>
      <c r="CO269" s="157"/>
      <c r="CP269" s="157"/>
      <c r="CQ269" s="157"/>
      <c r="CR269" s="111"/>
      <c r="CS269" s="111"/>
      <c r="CT269" s="111"/>
      <c r="CU269" s="424"/>
      <c r="CV269" s="10"/>
      <c r="CW269" s="411"/>
      <c r="CX269" s="10"/>
      <c r="CY269" s="10"/>
      <c r="CZ269" s="411"/>
    </row>
    <row r="270" spans="1:104" s="5" customFormat="1" ht="15" thickBo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M270" s="4"/>
      <c r="CL270" s="6"/>
      <c r="CN270" s="416"/>
      <c r="CO270" s="157"/>
      <c r="CP270" s="157"/>
      <c r="CQ270" s="157"/>
      <c r="CR270" s="111"/>
      <c r="CS270" s="111"/>
      <c r="CT270" s="111"/>
      <c r="CU270" s="297">
        <f>CU264*CU265*CU266*CU267*CU268</f>
        <v>1</v>
      </c>
      <c r="CV270" s="227"/>
      <c r="CW270" s="418"/>
      <c r="CX270" s="111"/>
      <c r="CY270" s="111"/>
      <c r="CZ270" s="419"/>
    </row>
    <row r="271" spans="1:104" s="5" customFormat="1" ht="15" thickBo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M271" s="4"/>
      <c r="CL271" s="6"/>
      <c r="CN271" s="416"/>
      <c r="CO271" s="382" t="s">
        <v>137</v>
      </c>
      <c r="CP271" s="384" t="s">
        <v>138</v>
      </c>
      <c r="CQ271" s="157"/>
      <c r="CR271" s="111"/>
      <c r="CS271" s="111"/>
      <c r="CT271" s="111">
        <v>4</v>
      </c>
      <c r="CU271" s="403">
        <f>CV271</f>
        <v>1</v>
      </c>
      <c r="CV271" s="404">
        <f>IF(CY271&lt;20%,CP271,1)</f>
        <v>1</v>
      </c>
      <c r="CW271" s="405"/>
      <c r="CX271" s="10"/>
      <c r="CY271" s="406">
        <f>R252</f>
        <v>1</v>
      </c>
      <c r="CZ271" s="423" t="s">
        <v>162</v>
      </c>
    </row>
    <row r="272" spans="1:104" s="5" customFormat="1" ht="15" thickBo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M272" s="4"/>
      <c r="CL272" s="6"/>
      <c r="CN272" s="416"/>
      <c r="CO272" s="382" t="s">
        <v>139</v>
      </c>
      <c r="CP272" s="384" t="s">
        <v>140</v>
      </c>
      <c r="CQ272" s="157"/>
      <c r="CR272" s="111"/>
      <c r="CS272" s="111"/>
      <c r="CT272" s="111"/>
      <c r="CU272" s="409">
        <f>IF(CV272=CW272,CV272,1)</f>
        <v>1</v>
      </c>
      <c r="CV272" s="342" t="str">
        <f>IF(CY271&gt;=20%,CP272,1)</f>
        <v>1,81</v>
      </c>
      <c r="CW272" s="410">
        <f>IF(CY271&lt;40%,CP272,1)</f>
        <v>1</v>
      </c>
      <c r="CX272" s="10"/>
      <c r="CY272" s="10"/>
      <c r="CZ272" s="411"/>
    </row>
    <row r="273" spans="1:104" s="5" customFormat="1" ht="15" thickBo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M273" s="4"/>
      <c r="CL273" s="6"/>
      <c r="CN273" s="416"/>
      <c r="CO273" s="382" t="s">
        <v>141</v>
      </c>
      <c r="CP273" s="384" t="s">
        <v>142</v>
      </c>
      <c r="CQ273" s="157"/>
      <c r="CR273" s="111"/>
      <c r="CS273" s="111"/>
      <c r="CT273" s="111"/>
      <c r="CU273" s="409">
        <f>IF(CV273=CW273,CV273,1)</f>
        <v>1</v>
      </c>
      <c r="CV273" s="342" t="str">
        <f>IF(CY271&gt;=40%,CP273,1)</f>
        <v>1,54</v>
      </c>
      <c r="CW273" s="410">
        <f>IF(CY271&lt;60%,CP273,1)</f>
        <v>1</v>
      </c>
      <c r="CX273" s="10"/>
      <c r="CY273" s="10"/>
      <c r="CZ273" s="411"/>
    </row>
    <row r="274" spans="1:104" s="5" customFormat="1" ht="15" thickBo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M274" s="4"/>
      <c r="CL274" s="6"/>
      <c r="CN274" s="416"/>
      <c r="CO274" s="382" t="s">
        <v>143</v>
      </c>
      <c r="CP274" s="384" t="s">
        <v>90</v>
      </c>
      <c r="CQ274" s="157"/>
      <c r="CR274" s="111"/>
      <c r="CS274" s="111"/>
      <c r="CT274" s="111"/>
      <c r="CU274" s="409">
        <f>IF(CV274=CW274,CV274,1)</f>
        <v>1</v>
      </c>
      <c r="CV274" s="342" t="str">
        <f>IF(CY271&gt;=60%,CP274,1)</f>
        <v>1,2</v>
      </c>
      <c r="CW274" s="410">
        <f>IF(CY271&lt;80%,CP274,1)</f>
        <v>1</v>
      </c>
      <c r="CX274" s="10"/>
      <c r="CY274" s="10"/>
      <c r="CZ274" s="411"/>
    </row>
    <row r="275" spans="1:104" s="5" customFormat="1" ht="15" thickBo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M275" s="4"/>
      <c r="CL275" s="6"/>
      <c r="CN275" s="416"/>
      <c r="CO275" s="382" t="s">
        <v>144</v>
      </c>
      <c r="CP275" s="384" t="s">
        <v>125</v>
      </c>
      <c r="CQ275" s="157"/>
      <c r="CR275" s="111"/>
      <c r="CS275" s="111"/>
      <c r="CT275" s="111"/>
      <c r="CU275" s="412">
        <f>IF(CV275=CW275,CV275,1)</f>
        <v>1</v>
      </c>
      <c r="CV275" s="342" t="str">
        <f>IF(CY271&gt;=80%,CP275,1)</f>
        <v>1</v>
      </c>
      <c r="CW275" s="410">
        <f>IF(CY271&lt;100%,CP275,1)</f>
        <v>1</v>
      </c>
      <c r="CX275" s="10"/>
      <c r="CY275" s="10"/>
      <c r="CZ275" s="411"/>
    </row>
    <row r="276" spans="1:104" s="5" customFormat="1" ht="15" thickBo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M276" s="4"/>
      <c r="CL276" s="6"/>
      <c r="CN276" s="416"/>
      <c r="CO276" s="157"/>
      <c r="CP276" s="157"/>
      <c r="CQ276" s="157"/>
      <c r="CR276" s="111"/>
      <c r="CS276" s="111"/>
      <c r="CT276" s="111"/>
      <c r="CU276" s="424"/>
      <c r="CV276" s="10"/>
      <c r="CW276" s="411"/>
      <c r="CX276" s="10"/>
      <c r="CY276" s="10"/>
      <c r="CZ276" s="411"/>
    </row>
    <row r="277" spans="1:104" s="5" customFormat="1" ht="15" thickBo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M277" s="4"/>
      <c r="CL277" s="6"/>
      <c r="CN277" s="416"/>
      <c r="CO277" s="157"/>
      <c r="CP277" s="157"/>
      <c r="CQ277" s="157"/>
      <c r="CR277" s="111"/>
      <c r="CS277" s="111"/>
      <c r="CT277" s="111"/>
      <c r="CU277" s="297">
        <f>CU271*CU272*CU273*CU274*CU275</f>
        <v>1</v>
      </c>
      <c r="CV277" s="227"/>
      <c r="CW277" s="418"/>
      <c r="CX277" s="111"/>
      <c r="CY277" s="111"/>
      <c r="CZ277" s="419"/>
    </row>
    <row r="278" spans="1:104" s="5" customFormat="1" ht="15" thickBo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M278" s="4"/>
      <c r="CL278" s="6"/>
      <c r="CN278" s="416"/>
      <c r="CO278" s="382" t="s">
        <v>137</v>
      </c>
      <c r="CP278" s="384" t="s">
        <v>138</v>
      </c>
      <c r="CQ278" s="157"/>
      <c r="CR278" s="111"/>
      <c r="CS278" s="111"/>
      <c r="CT278" s="111">
        <v>5</v>
      </c>
      <c r="CU278" s="403">
        <f>CV278</f>
        <v>1</v>
      </c>
      <c r="CV278" s="404">
        <f>IF(CY278&lt;20%,CP278,1)</f>
        <v>1</v>
      </c>
      <c r="CW278" s="405"/>
      <c r="CX278" s="10"/>
      <c r="CY278" s="406">
        <f>R253</f>
        <v>1</v>
      </c>
      <c r="CZ278" s="423" t="s">
        <v>162</v>
      </c>
    </row>
    <row r="279" spans="1:104" s="5" customFormat="1" ht="15" thickBo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M279" s="4"/>
      <c r="CL279" s="6"/>
      <c r="CN279" s="416"/>
      <c r="CO279" s="382" t="s">
        <v>139</v>
      </c>
      <c r="CP279" s="384" t="s">
        <v>140</v>
      </c>
      <c r="CQ279" s="157"/>
      <c r="CR279" s="111"/>
      <c r="CS279" s="111"/>
      <c r="CT279" s="111"/>
      <c r="CU279" s="409">
        <f>IF(CV279=CW279,CV279,1)</f>
        <v>1</v>
      </c>
      <c r="CV279" s="342" t="str">
        <f>IF(CY278&gt;=20%,CP279,1)</f>
        <v>1,81</v>
      </c>
      <c r="CW279" s="410">
        <f>IF(CY278&lt;40%,CP279,1)</f>
        <v>1</v>
      </c>
      <c r="CX279" s="10"/>
      <c r="CY279" s="10"/>
      <c r="CZ279" s="411"/>
    </row>
    <row r="280" spans="1:104" s="5" customFormat="1" ht="15" thickBo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M280" s="4"/>
      <c r="CL280" s="6"/>
      <c r="CN280" s="416"/>
      <c r="CO280" s="382" t="s">
        <v>141</v>
      </c>
      <c r="CP280" s="384" t="s">
        <v>142</v>
      </c>
      <c r="CQ280" s="157"/>
      <c r="CR280" s="111"/>
      <c r="CS280" s="111"/>
      <c r="CT280" s="111"/>
      <c r="CU280" s="409">
        <f>IF(CV280=CW280,CV280,1)</f>
        <v>1</v>
      </c>
      <c r="CV280" s="342" t="str">
        <f>IF(CY278&gt;=40%,CP280,1)</f>
        <v>1,54</v>
      </c>
      <c r="CW280" s="410">
        <f>IF(CY278&lt;60%,CP280,1)</f>
        <v>1</v>
      </c>
      <c r="CX280" s="10"/>
      <c r="CY280" s="10"/>
      <c r="CZ280" s="411"/>
    </row>
    <row r="281" spans="1:104" s="5" customFormat="1" ht="15" thickBo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M281" s="4"/>
      <c r="CL281" s="6"/>
      <c r="CN281" s="416"/>
      <c r="CO281" s="382" t="s">
        <v>143</v>
      </c>
      <c r="CP281" s="384" t="s">
        <v>90</v>
      </c>
      <c r="CQ281" s="157"/>
      <c r="CR281" s="111"/>
      <c r="CS281" s="111"/>
      <c r="CT281" s="111"/>
      <c r="CU281" s="409">
        <f>IF(CV281=CW281,CV281,1)</f>
        <v>1</v>
      </c>
      <c r="CV281" s="342" t="str">
        <f>IF(CY278&gt;=60%,CP281,1)</f>
        <v>1,2</v>
      </c>
      <c r="CW281" s="410">
        <f>IF(CY278&lt;80%,CP281,1)</f>
        <v>1</v>
      </c>
      <c r="CX281" s="10"/>
      <c r="CY281" s="10"/>
      <c r="CZ281" s="411"/>
    </row>
    <row r="282" spans="1:104" s="5" customFormat="1" ht="15" thickBo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M282" s="4"/>
      <c r="CL282" s="6"/>
      <c r="CN282" s="416"/>
      <c r="CO282" s="382" t="s">
        <v>144</v>
      </c>
      <c r="CP282" s="384" t="s">
        <v>125</v>
      </c>
      <c r="CQ282" s="157"/>
      <c r="CR282" s="111"/>
      <c r="CS282" s="111"/>
      <c r="CT282" s="111"/>
      <c r="CU282" s="412">
        <f>IF(CV282=CW282,CV282,1)</f>
        <v>1</v>
      </c>
      <c r="CV282" s="342" t="str">
        <f>IF(CY278&gt;=80%,CP282,1)</f>
        <v>1</v>
      </c>
      <c r="CW282" s="410">
        <f>IF(CY278&lt;100%,CP282,1)</f>
        <v>1</v>
      </c>
      <c r="CX282" s="10"/>
      <c r="CY282" s="10"/>
      <c r="CZ282" s="411"/>
    </row>
    <row r="283" spans="1:104" s="5" customFormat="1" ht="15" thickBo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M283" s="4"/>
      <c r="CL283" s="6"/>
      <c r="CN283" s="416"/>
      <c r="CO283" s="157"/>
      <c r="CP283" s="157"/>
      <c r="CQ283" s="157"/>
      <c r="CR283" s="111"/>
      <c r="CS283" s="111"/>
      <c r="CT283" s="111"/>
      <c r="CU283" s="424"/>
      <c r="CV283" s="10"/>
      <c r="CW283" s="411"/>
      <c r="CX283" s="10"/>
      <c r="CY283" s="10"/>
      <c r="CZ283" s="411"/>
    </row>
    <row r="284" spans="1:104" s="5" customFormat="1" ht="15" thickBo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M284" s="4"/>
      <c r="CL284" s="6"/>
      <c r="CN284" s="416"/>
      <c r="CO284" s="157"/>
      <c r="CP284" s="157"/>
      <c r="CQ284" s="157"/>
      <c r="CR284" s="111"/>
      <c r="CS284" s="111"/>
      <c r="CT284" s="111"/>
      <c r="CU284" s="297">
        <f>CU278*CU279*CU280*CU281*CU282</f>
        <v>1</v>
      </c>
      <c r="CV284" s="227"/>
      <c r="CW284" s="418"/>
      <c r="CX284" s="111"/>
      <c r="CY284" s="111"/>
      <c r="CZ284" s="419"/>
    </row>
    <row r="285" spans="1:104" s="5" customFormat="1" ht="15" thickBo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M285" s="4"/>
      <c r="CL285" s="6"/>
      <c r="CN285" s="416"/>
      <c r="CO285" s="382" t="s">
        <v>137</v>
      </c>
      <c r="CP285" s="384" t="s">
        <v>138</v>
      </c>
      <c r="CQ285" s="157"/>
      <c r="CR285" s="111"/>
      <c r="CS285" s="111"/>
      <c r="CT285" s="111">
        <v>6</v>
      </c>
      <c r="CU285" s="403">
        <f>CV285</f>
        <v>1</v>
      </c>
      <c r="CV285" s="404">
        <f>IF(CY285&lt;20%,CP285,1)</f>
        <v>1</v>
      </c>
      <c r="CW285" s="405"/>
      <c r="CX285" s="10"/>
      <c r="CY285" s="406">
        <f>R254</f>
        <v>1</v>
      </c>
      <c r="CZ285" s="423" t="s">
        <v>162</v>
      </c>
    </row>
    <row r="286" spans="1:104" s="5" customFormat="1" ht="15" thickBo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M286" s="4"/>
      <c r="CL286" s="6"/>
      <c r="CN286" s="416"/>
      <c r="CO286" s="382" t="s">
        <v>139</v>
      </c>
      <c r="CP286" s="384" t="s">
        <v>140</v>
      </c>
      <c r="CQ286" s="157"/>
      <c r="CR286" s="111"/>
      <c r="CS286" s="111"/>
      <c r="CT286" s="111"/>
      <c r="CU286" s="409">
        <f>IF(CV286=CW286,CV286,1)</f>
        <v>1</v>
      </c>
      <c r="CV286" s="342" t="str">
        <f>IF(CY285&gt;=20%,CP286,1)</f>
        <v>1,81</v>
      </c>
      <c r="CW286" s="410">
        <f>IF(CY285&lt;40%,CP286,1)</f>
        <v>1</v>
      </c>
      <c r="CX286" s="10"/>
      <c r="CY286" s="10"/>
      <c r="CZ286" s="411"/>
    </row>
    <row r="287" spans="1:104" s="5" customFormat="1" ht="15" thickBo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M287" s="4"/>
      <c r="CL287" s="6"/>
      <c r="CN287" s="416"/>
      <c r="CO287" s="382" t="s">
        <v>141</v>
      </c>
      <c r="CP287" s="384" t="s">
        <v>142</v>
      </c>
      <c r="CQ287" s="157"/>
      <c r="CR287" s="111"/>
      <c r="CS287" s="111"/>
      <c r="CT287" s="111"/>
      <c r="CU287" s="409">
        <f>IF(CV287=CW287,CV287,1)</f>
        <v>1</v>
      </c>
      <c r="CV287" s="342" t="str">
        <f>IF(CY285&gt;=40%,CP287,1)</f>
        <v>1,54</v>
      </c>
      <c r="CW287" s="410">
        <f>IF(CY285&lt;60%,CP287,1)</f>
        <v>1</v>
      </c>
      <c r="CX287" s="10"/>
      <c r="CY287" s="10"/>
      <c r="CZ287" s="411"/>
    </row>
    <row r="288" spans="1:104" s="5" customFormat="1" ht="15" thickBo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M288" s="4"/>
      <c r="CL288" s="6"/>
      <c r="CN288" s="416"/>
      <c r="CO288" s="382" t="s">
        <v>143</v>
      </c>
      <c r="CP288" s="384" t="s">
        <v>90</v>
      </c>
      <c r="CQ288" s="157"/>
      <c r="CR288" s="111"/>
      <c r="CS288" s="111"/>
      <c r="CT288" s="111"/>
      <c r="CU288" s="409">
        <f>IF(CV288=CW288,CV288,1)</f>
        <v>1</v>
      </c>
      <c r="CV288" s="342" t="str">
        <f>IF(CY285&gt;=60%,CP288,1)</f>
        <v>1,2</v>
      </c>
      <c r="CW288" s="410">
        <f>IF(CY285&lt;80%,CP288,1)</f>
        <v>1</v>
      </c>
      <c r="CX288" s="10"/>
      <c r="CY288" s="10"/>
      <c r="CZ288" s="411"/>
    </row>
    <row r="289" spans="1:104" s="5" customFormat="1" ht="15" thickBo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M289" s="4"/>
      <c r="CL289" s="6"/>
      <c r="CN289" s="416"/>
      <c r="CO289" s="382" t="s">
        <v>144</v>
      </c>
      <c r="CP289" s="384" t="s">
        <v>125</v>
      </c>
      <c r="CQ289" s="157"/>
      <c r="CR289" s="111"/>
      <c r="CS289" s="111"/>
      <c r="CT289" s="111"/>
      <c r="CU289" s="412">
        <f>IF(CV289=CW289,CV289,1)</f>
        <v>1</v>
      </c>
      <c r="CV289" s="342" t="str">
        <f>IF(CY285&gt;=80%,CP289,1)</f>
        <v>1</v>
      </c>
      <c r="CW289" s="410">
        <f>IF(CY285&lt;100%,CP289,1)</f>
        <v>1</v>
      </c>
      <c r="CX289" s="10"/>
      <c r="CY289" s="10"/>
      <c r="CZ289" s="411"/>
    </row>
    <row r="290" spans="1:104" s="5" customFormat="1" ht="15" thickBo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M290" s="4"/>
      <c r="CL290" s="6"/>
      <c r="CN290" s="416"/>
      <c r="CO290" s="157"/>
      <c r="CP290" s="157"/>
      <c r="CQ290" s="157"/>
      <c r="CR290" s="111"/>
      <c r="CS290" s="111"/>
      <c r="CT290" s="111"/>
      <c r="CU290" s="424"/>
      <c r="CV290" s="10"/>
      <c r="CW290" s="411"/>
      <c r="CX290" s="10"/>
      <c r="CY290" s="10"/>
      <c r="CZ290" s="411"/>
    </row>
    <row r="291" spans="1:104" s="5" customFormat="1" ht="15" thickBo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M291" s="4"/>
      <c r="CL291" s="6"/>
      <c r="CN291" s="416"/>
      <c r="CO291" s="157"/>
      <c r="CP291" s="157"/>
      <c r="CQ291" s="157"/>
      <c r="CR291" s="111"/>
      <c r="CS291" s="111"/>
      <c r="CT291" s="111"/>
      <c r="CU291" s="297">
        <f>CU285*CU286*CU287*CU288*CU289</f>
        <v>1</v>
      </c>
      <c r="CV291" s="227"/>
      <c r="CW291" s="418"/>
      <c r="CX291" s="111"/>
      <c r="CY291" s="111"/>
      <c r="CZ291" s="419"/>
    </row>
    <row r="292" spans="1:104" s="5" customFormat="1" ht="15" thickBo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M292" s="4"/>
      <c r="CL292" s="6"/>
      <c r="CN292" s="416"/>
      <c r="CO292" s="382" t="s">
        <v>137</v>
      </c>
      <c r="CP292" s="384" t="s">
        <v>138</v>
      </c>
      <c r="CQ292" s="157"/>
      <c r="CR292" s="111"/>
      <c r="CS292" s="111"/>
      <c r="CT292" s="111">
        <v>7</v>
      </c>
      <c r="CU292" s="403">
        <f>CV292</f>
        <v>1</v>
      </c>
      <c r="CV292" s="404">
        <f>IF(CY292&lt;20%,CP292,1)</f>
        <v>1</v>
      </c>
      <c r="CW292" s="405"/>
      <c r="CX292" s="10"/>
      <c r="CY292" s="406">
        <f>R255</f>
        <v>1</v>
      </c>
      <c r="CZ292" s="423" t="s">
        <v>162</v>
      </c>
    </row>
    <row r="293" spans="1:104" s="5" customFormat="1" ht="15" thickBo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M293" s="4"/>
      <c r="CL293" s="6"/>
      <c r="CN293" s="416"/>
      <c r="CO293" s="382" t="s">
        <v>139</v>
      </c>
      <c r="CP293" s="384" t="s">
        <v>140</v>
      </c>
      <c r="CQ293" s="157"/>
      <c r="CR293" s="111"/>
      <c r="CS293" s="111"/>
      <c r="CT293" s="111"/>
      <c r="CU293" s="409">
        <f>IF(CV293=CW293,CV293,1)</f>
        <v>1</v>
      </c>
      <c r="CV293" s="342" t="str">
        <f>IF(CY292&gt;=20%,CP293,1)</f>
        <v>1,81</v>
      </c>
      <c r="CW293" s="410">
        <f>IF(CY292&lt;40%,CP293,1)</f>
        <v>1</v>
      </c>
      <c r="CX293" s="10"/>
      <c r="CY293" s="10"/>
      <c r="CZ293" s="411"/>
    </row>
    <row r="294" spans="1:104" s="5" customFormat="1" ht="15" thickBo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M294" s="4"/>
      <c r="CL294" s="6"/>
      <c r="CN294" s="416"/>
      <c r="CO294" s="382" t="s">
        <v>141</v>
      </c>
      <c r="CP294" s="384" t="s">
        <v>142</v>
      </c>
      <c r="CQ294" s="157"/>
      <c r="CR294" s="111"/>
      <c r="CS294" s="111"/>
      <c r="CT294" s="111"/>
      <c r="CU294" s="409">
        <f>IF(CV294=CW294,CV294,1)</f>
        <v>1</v>
      </c>
      <c r="CV294" s="342" t="str">
        <f>IF(CY292&gt;=40%,CP294,1)</f>
        <v>1,54</v>
      </c>
      <c r="CW294" s="410">
        <f>IF(CY292&lt;60%,CP294,1)</f>
        <v>1</v>
      </c>
      <c r="CX294" s="10"/>
      <c r="CY294" s="10"/>
      <c r="CZ294" s="411"/>
    </row>
    <row r="295" spans="1:104" s="5" customFormat="1" ht="15" thickBo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M295" s="4"/>
      <c r="CL295" s="6"/>
      <c r="CN295" s="416"/>
      <c r="CO295" s="382" t="s">
        <v>143</v>
      </c>
      <c r="CP295" s="384" t="s">
        <v>90</v>
      </c>
      <c r="CQ295" s="157"/>
      <c r="CR295" s="111"/>
      <c r="CS295" s="111"/>
      <c r="CT295" s="111"/>
      <c r="CU295" s="409">
        <f>IF(CV295=CW295,CV295,1)</f>
        <v>1</v>
      </c>
      <c r="CV295" s="342" t="str">
        <f>IF(CY292&gt;=60%,CP295,1)</f>
        <v>1,2</v>
      </c>
      <c r="CW295" s="410">
        <f>IF(CY292&lt;80%,CP295,1)</f>
        <v>1</v>
      </c>
      <c r="CX295" s="10"/>
      <c r="CY295" s="10"/>
      <c r="CZ295" s="411"/>
    </row>
    <row r="296" spans="1:104" s="5" customFormat="1" ht="15" thickBo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M296" s="4"/>
      <c r="CL296" s="6"/>
      <c r="CN296" s="416"/>
      <c r="CO296" s="382" t="s">
        <v>144</v>
      </c>
      <c r="CP296" s="384" t="s">
        <v>125</v>
      </c>
      <c r="CQ296" s="157"/>
      <c r="CR296" s="111"/>
      <c r="CS296" s="111"/>
      <c r="CT296" s="111"/>
      <c r="CU296" s="412">
        <f>IF(CV296=CW296,CV296,1)</f>
        <v>1</v>
      </c>
      <c r="CV296" s="342" t="str">
        <f>IF(CY292&gt;=80%,CP296,1)</f>
        <v>1</v>
      </c>
      <c r="CW296" s="410">
        <f>IF(CY292&lt;100%,CP296,1)</f>
        <v>1</v>
      </c>
      <c r="CX296" s="10"/>
      <c r="CY296" s="10"/>
      <c r="CZ296" s="411"/>
    </row>
    <row r="297" spans="1:104" s="5" customFormat="1" ht="15" thickBot="1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M297" s="4"/>
      <c r="CL297" s="6"/>
      <c r="CN297" s="416"/>
      <c r="CO297" s="157"/>
      <c r="CP297" s="157"/>
      <c r="CQ297" s="157"/>
      <c r="CR297" s="111"/>
      <c r="CS297" s="111"/>
      <c r="CT297" s="111"/>
      <c r="CU297" s="424"/>
      <c r="CV297" s="10"/>
      <c r="CW297" s="411"/>
      <c r="CX297" s="10"/>
      <c r="CY297" s="10"/>
      <c r="CZ297" s="411"/>
    </row>
    <row r="298" spans="1:104" s="5" customFormat="1" ht="15" thickBot="1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M298" s="4"/>
      <c r="CL298" s="6"/>
      <c r="CN298" s="416"/>
      <c r="CO298" s="157"/>
      <c r="CP298" s="157"/>
      <c r="CQ298" s="157"/>
      <c r="CR298" s="111"/>
      <c r="CS298" s="111"/>
      <c r="CT298" s="111"/>
      <c r="CU298" s="425">
        <f>CU292*CU293*CU294*CU295*CU296</f>
        <v>1</v>
      </c>
      <c r="CV298" s="111"/>
      <c r="CW298" s="419"/>
      <c r="CX298" s="111"/>
      <c r="CY298" s="111"/>
      <c r="CZ298" s="419"/>
    </row>
    <row r="299" spans="1:104" s="5" customFormat="1" ht="15" thickBot="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M299" s="4"/>
      <c r="CL299" s="6"/>
      <c r="CN299" s="416"/>
      <c r="CO299" s="382" t="s">
        <v>137</v>
      </c>
      <c r="CP299" s="384" t="s">
        <v>138</v>
      </c>
      <c r="CQ299" s="157"/>
      <c r="CR299" s="111"/>
      <c r="CS299" s="111"/>
      <c r="CT299" s="111">
        <v>8</v>
      </c>
      <c r="CU299" s="403">
        <f>CV299</f>
        <v>1</v>
      </c>
      <c r="CV299" s="404">
        <f>IF(CY299&lt;20%,CP299,1)</f>
        <v>1</v>
      </c>
      <c r="CW299" s="405"/>
      <c r="CX299" s="10"/>
      <c r="CY299" s="406">
        <f>R256</f>
        <v>1</v>
      </c>
      <c r="CZ299" s="423" t="s">
        <v>162</v>
      </c>
    </row>
    <row r="300" spans="1:104" s="5" customFormat="1" ht="15" thickBot="1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M300" s="4"/>
      <c r="CL300" s="6"/>
      <c r="CN300" s="416"/>
      <c r="CO300" s="382" t="s">
        <v>139</v>
      </c>
      <c r="CP300" s="384" t="s">
        <v>140</v>
      </c>
      <c r="CQ300" s="157"/>
      <c r="CR300" s="111"/>
      <c r="CS300" s="111"/>
      <c r="CT300" s="111"/>
      <c r="CU300" s="409">
        <f>IF(CV300=CW300,CV300,1)</f>
        <v>1</v>
      </c>
      <c r="CV300" s="342" t="str">
        <f>IF(CY299&gt;=20%,CP300,1)</f>
        <v>1,81</v>
      </c>
      <c r="CW300" s="410">
        <f>IF(CY299&lt;40%,CP300,1)</f>
        <v>1</v>
      </c>
      <c r="CX300" s="10"/>
      <c r="CY300" s="10"/>
      <c r="CZ300" s="411"/>
    </row>
    <row r="301" spans="1:104" s="5" customFormat="1" ht="15" thickBot="1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M301" s="4"/>
      <c r="CL301" s="6"/>
      <c r="CN301" s="416"/>
      <c r="CO301" s="382" t="s">
        <v>141</v>
      </c>
      <c r="CP301" s="384" t="s">
        <v>142</v>
      </c>
      <c r="CQ301" s="157"/>
      <c r="CR301" s="111"/>
      <c r="CS301" s="111"/>
      <c r="CT301" s="111"/>
      <c r="CU301" s="409">
        <f>IF(CV301=CW301,CV301,1)</f>
        <v>1</v>
      </c>
      <c r="CV301" s="342" t="str">
        <f>IF(CY299&gt;=40%,CP301,1)</f>
        <v>1,54</v>
      </c>
      <c r="CW301" s="410">
        <f>IF(CY299&lt;60%,CP301,1)</f>
        <v>1</v>
      </c>
      <c r="CX301" s="10"/>
      <c r="CY301" s="10"/>
      <c r="CZ301" s="411"/>
    </row>
    <row r="302" spans="1:104" s="5" customFormat="1" ht="15" thickBot="1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M302" s="4"/>
      <c r="CL302" s="6"/>
      <c r="CN302" s="416"/>
      <c r="CO302" s="382" t="s">
        <v>143</v>
      </c>
      <c r="CP302" s="384" t="s">
        <v>90</v>
      </c>
      <c r="CQ302" s="157"/>
      <c r="CR302" s="111"/>
      <c r="CS302" s="111"/>
      <c r="CT302" s="111"/>
      <c r="CU302" s="409">
        <f>IF(CV302=CW302,CV302,1)</f>
        <v>1</v>
      </c>
      <c r="CV302" s="342" t="str">
        <f>IF(CY299&gt;=60%,CP302,1)</f>
        <v>1,2</v>
      </c>
      <c r="CW302" s="410">
        <f>IF(CY299&lt;80%,CP302,1)</f>
        <v>1</v>
      </c>
      <c r="CX302" s="10"/>
      <c r="CY302" s="10"/>
      <c r="CZ302" s="411"/>
    </row>
    <row r="303" spans="1:104" s="5" customFormat="1" ht="15" thickBot="1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M303" s="4"/>
      <c r="CL303" s="6"/>
      <c r="CN303" s="416"/>
      <c r="CO303" s="382" t="s">
        <v>144</v>
      </c>
      <c r="CP303" s="384" t="s">
        <v>125</v>
      </c>
      <c r="CQ303" s="157"/>
      <c r="CR303" s="111"/>
      <c r="CS303" s="111"/>
      <c r="CT303" s="111"/>
      <c r="CU303" s="412">
        <f>IF(CV303=CW303,CV303,1)</f>
        <v>1</v>
      </c>
      <c r="CV303" s="342" t="str">
        <f>IF(CY299&gt;=80%,CP303,1)</f>
        <v>1</v>
      </c>
      <c r="CW303" s="410">
        <f>IF(CY299&lt;100%,CP303,1)</f>
        <v>1</v>
      </c>
      <c r="CX303" s="10"/>
      <c r="CY303" s="10"/>
      <c r="CZ303" s="411"/>
    </row>
    <row r="304" spans="1:104" s="5" customFormat="1" ht="15" thickBot="1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M304" s="4"/>
      <c r="CL304" s="6"/>
      <c r="CN304" s="416"/>
      <c r="CO304" s="157"/>
      <c r="CP304" s="157"/>
      <c r="CQ304" s="157"/>
      <c r="CR304" s="111"/>
      <c r="CS304" s="111"/>
      <c r="CT304" s="111"/>
      <c r="CU304" s="426"/>
      <c r="CV304" s="10"/>
      <c r="CW304" s="10"/>
      <c r="CX304" s="10"/>
      <c r="CY304" s="10"/>
      <c r="CZ304" s="411"/>
    </row>
    <row r="305" spans="1:104" s="5" customFormat="1" ht="15" thickBot="1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M305" s="4"/>
      <c r="CL305" s="6"/>
      <c r="CN305" s="416"/>
      <c r="CO305" s="157"/>
      <c r="CP305" s="157"/>
      <c r="CQ305" s="157"/>
      <c r="CR305" s="111"/>
      <c r="CS305" s="111"/>
      <c r="CT305" s="111"/>
      <c r="CU305" s="427">
        <f>CU299*CU300*CU301*CU302*CU303</f>
        <v>1</v>
      </c>
      <c r="CV305" s="227"/>
      <c r="CW305" s="418"/>
      <c r="CX305" s="111"/>
      <c r="CY305" s="111"/>
      <c r="CZ305" s="419"/>
    </row>
    <row r="306" spans="1:104" s="5" customFormat="1" ht="15" thickBot="1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M306" s="4"/>
      <c r="CL306" s="6"/>
      <c r="CN306" s="416"/>
      <c r="CO306" s="382" t="s">
        <v>137</v>
      </c>
      <c r="CP306" s="384" t="s">
        <v>138</v>
      </c>
      <c r="CQ306" s="157"/>
      <c r="CR306" s="111"/>
      <c r="CS306" s="111"/>
      <c r="CT306" s="111">
        <v>9</v>
      </c>
      <c r="CU306" s="403">
        <f>CV306</f>
        <v>1</v>
      </c>
      <c r="CV306" s="404">
        <f>IF(CY306&lt;20%,CP306,1)</f>
        <v>1</v>
      </c>
      <c r="CW306" s="405"/>
      <c r="CX306" s="10"/>
      <c r="CY306" s="406">
        <f>R257</f>
        <v>1</v>
      </c>
      <c r="CZ306" s="423" t="s">
        <v>162</v>
      </c>
    </row>
    <row r="307" spans="1:104" s="5" customFormat="1" ht="15" thickBot="1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M307" s="4"/>
      <c r="CL307" s="6"/>
      <c r="CN307" s="416"/>
      <c r="CO307" s="382" t="s">
        <v>139</v>
      </c>
      <c r="CP307" s="384" t="s">
        <v>140</v>
      </c>
      <c r="CQ307" s="157"/>
      <c r="CR307" s="111"/>
      <c r="CS307" s="111"/>
      <c r="CT307" s="111"/>
      <c r="CU307" s="409">
        <f>IF(CV307=CW307,CV307,1)</f>
        <v>1</v>
      </c>
      <c r="CV307" s="342" t="str">
        <f>IF(CY306&gt;=20%,CP307,1)</f>
        <v>1,81</v>
      </c>
      <c r="CW307" s="410">
        <f>IF(CY306&lt;40%,CP307,1)</f>
        <v>1</v>
      </c>
      <c r="CX307" s="10"/>
      <c r="CY307" s="10"/>
      <c r="CZ307" s="411"/>
    </row>
    <row r="308" spans="1:104" s="5" customFormat="1" ht="15" thickBot="1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M308" s="4"/>
      <c r="CL308" s="6"/>
      <c r="CN308" s="416"/>
      <c r="CO308" s="382" t="s">
        <v>141</v>
      </c>
      <c r="CP308" s="384" t="s">
        <v>142</v>
      </c>
      <c r="CQ308" s="157"/>
      <c r="CR308" s="111"/>
      <c r="CS308" s="111"/>
      <c r="CT308" s="111"/>
      <c r="CU308" s="409">
        <f>IF(CV308=CW308,CV308,1)</f>
        <v>1</v>
      </c>
      <c r="CV308" s="342" t="str">
        <f>IF(CY306&gt;=40%,CP308,1)</f>
        <v>1,54</v>
      </c>
      <c r="CW308" s="410">
        <f>IF(CY306&lt;60%,CP308,1)</f>
        <v>1</v>
      </c>
      <c r="CX308" s="10"/>
      <c r="CY308" s="10"/>
      <c r="CZ308" s="411"/>
    </row>
    <row r="309" spans="1:104" s="5" customFormat="1" ht="15" thickBot="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M309" s="4"/>
      <c r="CL309" s="6"/>
      <c r="CN309" s="416"/>
      <c r="CO309" s="382" t="s">
        <v>143</v>
      </c>
      <c r="CP309" s="384" t="s">
        <v>90</v>
      </c>
      <c r="CQ309" s="157"/>
      <c r="CR309" s="111"/>
      <c r="CS309" s="111"/>
      <c r="CT309" s="111"/>
      <c r="CU309" s="409">
        <f>IF(CV309=CW309,CV309,1)</f>
        <v>1</v>
      </c>
      <c r="CV309" s="342" t="str">
        <f>IF(CY306&gt;=60%,CP309,1)</f>
        <v>1,2</v>
      </c>
      <c r="CW309" s="410">
        <f>IF(CY306&lt;80%,CP309,1)</f>
        <v>1</v>
      </c>
      <c r="CX309" s="10"/>
      <c r="CY309" s="10"/>
      <c r="CZ309" s="411"/>
    </row>
    <row r="310" spans="1:104" s="5" customFormat="1" ht="15" thickBot="1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M310" s="4"/>
      <c r="CL310" s="6"/>
      <c r="CN310" s="416"/>
      <c r="CO310" s="382" t="s">
        <v>144</v>
      </c>
      <c r="CP310" s="384" t="s">
        <v>125</v>
      </c>
      <c r="CQ310" s="157"/>
      <c r="CR310" s="111"/>
      <c r="CS310" s="111"/>
      <c r="CT310" s="111"/>
      <c r="CU310" s="412">
        <f>IF(CV310=CW310,CV310,1)</f>
        <v>1</v>
      </c>
      <c r="CV310" s="342" t="str">
        <f>IF(CY306&gt;=80%,CP310,1)</f>
        <v>1</v>
      </c>
      <c r="CW310" s="410">
        <f>IF(CY306&lt;100%,CP310,1)</f>
        <v>1</v>
      </c>
      <c r="CX310" s="10"/>
      <c r="CY310" s="10"/>
      <c r="CZ310" s="411"/>
    </row>
    <row r="311" spans="1:104" s="5" customFormat="1" ht="15" thickBot="1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M311" s="4"/>
      <c r="CL311" s="6"/>
      <c r="CN311" s="416"/>
      <c r="CO311" s="157"/>
      <c r="CP311" s="157"/>
      <c r="CQ311" s="157"/>
      <c r="CR311" s="111"/>
      <c r="CS311" s="111"/>
      <c r="CT311" s="111"/>
      <c r="CU311" s="424"/>
      <c r="CV311" s="10"/>
      <c r="CW311" s="411"/>
      <c r="CX311" s="10"/>
      <c r="CY311" s="10"/>
      <c r="CZ311" s="411"/>
    </row>
    <row r="312" spans="1:104" s="5" customFormat="1" ht="15" thickBot="1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M312" s="4"/>
      <c r="CL312" s="6"/>
      <c r="CN312" s="416"/>
      <c r="CO312" s="157"/>
      <c r="CP312" s="157"/>
      <c r="CQ312" s="157"/>
      <c r="CR312" s="111"/>
      <c r="CS312" s="111"/>
      <c r="CT312" s="111"/>
      <c r="CU312" s="297">
        <f>CU306*CU307*CU308*CU309*CU310</f>
        <v>1</v>
      </c>
      <c r="CV312" s="227"/>
      <c r="CW312" s="418"/>
      <c r="CX312" s="111"/>
      <c r="CY312" s="111"/>
      <c r="CZ312" s="419"/>
    </row>
    <row r="313" spans="1:104" s="5" customFormat="1" ht="15" thickBot="1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M313" s="4"/>
      <c r="CL313" s="6"/>
      <c r="CN313" s="416"/>
      <c r="CO313" s="382" t="s">
        <v>137</v>
      </c>
      <c r="CP313" s="384" t="s">
        <v>138</v>
      </c>
      <c r="CQ313" s="157"/>
      <c r="CR313" s="111"/>
      <c r="CS313" s="111"/>
      <c r="CT313" s="111">
        <v>10</v>
      </c>
      <c r="CU313" s="403">
        <f>CV313</f>
        <v>1</v>
      </c>
      <c r="CV313" s="404">
        <f>IF(CY313&lt;20%,CP313,1)</f>
        <v>1</v>
      </c>
      <c r="CW313" s="405"/>
      <c r="CX313" s="10"/>
      <c r="CY313" s="406">
        <f>R258</f>
        <v>1</v>
      </c>
      <c r="CZ313" s="423" t="s">
        <v>162</v>
      </c>
    </row>
    <row r="314" spans="1:104" s="5" customFormat="1" ht="15" thickBot="1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M314" s="4"/>
      <c r="CL314" s="6"/>
      <c r="CN314" s="416"/>
      <c r="CO314" s="382" t="s">
        <v>139</v>
      </c>
      <c r="CP314" s="384" t="s">
        <v>140</v>
      </c>
      <c r="CQ314" s="157"/>
      <c r="CR314" s="111"/>
      <c r="CS314" s="111"/>
      <c r="CT314" s="111"/>
      <c r="CU314" s="409">
        <f>IF(CV314=CW314,CV314,1)</f>
        <v>1</v>
      </c>
      <c r="CV314" s="342" t="str">
        <f>IF(CY313&gt;=20%,CP314,1)</f>
        <v>1,81</v>
      </c>
      <c r="CW314" s="410">
        <f>IF(CY313&lt;40%,CP314,1)</f>
        <v>1</v>
      </c>
      <c r="CX314" s="10"/>
      <c r="CY314" s="10"/>
      <c r="CZ314" s="411"/>
    </row>
    <row r="315" spans="1:104" s="5" customFormat="1" ht="15" thickBot="1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M315" s="4"/>
      <c r="CL315" s="6"/>
      <c r="CN315" s="416"/>
      <c r="CO315" s="382" t="s">
        <v>141</v>
      </c>
      <c r="CP315" s="384" t="s">
        <v>142</v>
      </c>
      <c r="CQ315" s="157"/>
      <c r="CR315" s="111"/>
      <c r="CS315" s="111"/>
      <c r="CT315" s="111"/>
      <c r="CU315" s="409">
        <f>IF(CV315=CW315,CV315,1)</f>
        <v>1</v>
      </c>
      <c r="CV315" s="342" t="str">
        <f>IF(CY313&gt;=40%,CP315,1)</f>
        <v>1,54</v>
      </c>
      <c r="CW315" s="410">
        <f>IF(CY313&lt;60%,CP315,1)</f>
        <v>1</v>
      </c>
      <c r="CX315" s="10"/>
      <c r="CY315" s="10"/>
      <c r="CZ315" s="411"/>
    </row>
    <row r="316" spans="1:104" s="5" customFormat="1" ht="15" thickBot="1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M316" s="4"/>
      <c r="CL316" s="6"/>
      <c r="CN316" s="416"/>
      <c r="CO316" s="382" t="s">
        <v>143</v>
      </c>
      <c r="CP316" s="384" t="s">
        <v>90</v>
      </c>
      <c r="CQ316" s="157"/>
      <c r="CR316" s="111"/>
      <c r="CS316" s="111"/>
      <c r="CT316" s="111"/>
      <c r="CU316" s="409">
        <f>IF(CV316=CW316,CV316,1)</f>
        <v>1</v>
      </c>
      <c r="CV316" s="342" t="str">
        <f>IF(CY313&gt;=60%,CP316,1)</f>
        <v>1,2</v>
      </c>
      <c r="CW316" s="410">
        <f>IF(CY313&lt;80%,CP316,1)</f>
        <v>1</v>
      </c>
      <c r="CX316" s="10"/>
      <c r="CY316" s="10"/>
      <c r="CZ316" s="411"/>
    </row>
    <row r="317" spans="1:104" s="5" customFormat="1" ht="15" thickBot="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M317" s="4"/>
      <c r="CL317" s="6"/>
      <c r="CN317" s="416"/>
      <c r="CO317" s="382" t="s">
        <v>144</v>
      </c>
      <c r="CP317" s="384" t="s">
        <v>125</v>
      </c>
      <c r="CQ317" s="157"/>
      <c r="CR317" s="111"/>
      <c r="CS317" s="111"/>
      <c r="CT317" s="111"/>
      <c r="CU317" s="412">
        <f>IF(CV317=CW317,CV317,1)</f>
        <v>1</v>
      </c>
      <c r="CV317" s="342" t="str">
        <f>IF(CY313&gt;=80%,CP317,1)</f>
        <v>1</v>
      </c>
      <c r="CW317" s="410">
        <f>IF(CY313&lt;100%,CP317,1)</f>
        <v>1</v>
      </c>
      <c r="CX317" s="10"/>
      <c r="CY317" s="10"/>
      <c r="CZ317" s="411"/>
    </row>
    <row r="318" spans="1:104" s="5" customFormat="1" ht="15" thickBot="1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M318" s="4"/>
      <c r="CL318" s="6"/>
      <c r="CN318" s="416"/>
      <c r="CO318" s="157"/>
      <c r="CP318" s="157"/>
      <c r="CQ318" s="157"/>
      <c r="CR318" s="111"/>
      <c r="CS318" s="111"/>
      <c r="CT318" s="111"/>
      <c r="CU318" s="424"/>
      <c r="CV318" s="10"/>
      <c r="CW318" s="411"/>
      <c r="CX318" s="10"/>
      <c r="CY318" s="10"/>
      <c r="CZ318" s="411"/>
    </row>
    <row r="319" spans="1:104" s="5" customFormat="1" ht="15" thickBot="1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M319" s="4"/>
      <c r="CL319" s="6"/>
      <c r="CN319" s="416"/>
      <c r="CO319" s="157"/>
      <c r="CP319" s="157"/>
      <c r="CQ319" s="157"/>
      <c r="CR319" s="111"/>
      <c r="CS319" s="111"/>
      <c r="CT319" s="111"/>
      <c r="CU319" s="297">
        <f>CU313*CU314*CU315*CU316*CU317</f>
        <v>1</v>
      </c>
      <c r="CV319" s="227"/>
      <c r="CW319" s="418"/>
      <c r="CX319" s="111"/>
      <c r="CY319" s="111"/>
      <c r="CZ319" s="419"/>
    </row>
    <row r="320" spans="1:104" s="5" customFormat="1" ht="15" thickBot="1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M320" s="4"/>
      <c r="CL320" s="6"/>
      <c r="CN320" s="416"/>
      <c r="CO320" s="382" t="s">
        <v>137</v>
      </c>
      <c r="CP320" s="384" t="s">
        <v>138</v>
      </c>
      <c r="CQ320" s="157"/>
      <c r="CR320" s="111"/>
      <c r="CS320" s="111"/>
      <c r="CT320" s="111">
        <v>11</v>
      </c>
      <c r="CU320" s="403">
        <f>CV320</f>
        <v>1</v>
      </c>
      <c r="CV320" s="404">
        <f>IF(CY320&lt;20%,CP320,1)</f>
        <v>1</v>
      </c>
      <c r="CW320" s="405"/>
      <c r="CX320" s="10"/>
      <c r="CY320" s="406">
        <f>R259</f>
        <v>1</v>
      </c>
      <c r="CZ320" s="423" t="s">
        <v>162</v>
      </c>
    </row>
    <row r="321" spans="1:104" s="5" customFormat="1" ht="15" thickBot="1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M321" s="4"/>
      <c r="CL321" s="6"/>
      <c r="CN321" s="416"/>
      <c r="CO321" s="382" t="s">
        <v>139</v>
      </c>
      <c r="CP321" s="384" t="s">
        <v>140</v>
      </c>
      <c r="CQ321" s="157"/>
      <c r="CR321" s="111"/>
      <c r="CS321" s="111"/>
      <c r="CT321" s="111"/>
      <c r="CU321" s="409">
        <f>IF(CV321=CW321,CV321,1)</f>
        <v>1</v>
      </c>
      <c r="CV321" s="342" t="str">
        <f>IF(CY320&gt;=20%,CP321,1)</f>
        <v>1,81</v>
      </c>
      <c r="CW321" s="410">
        <f>IF(CY320&lt;40%,CP321,1)</f>
        <v>1</v>
      </c>
      <c r="CX321" s="10"/>
      <c r="CY321" s="10"/>
      <c r="CZ321" s="411"/>
    </row>
    <row r="322" spans="1:104" s="5" customFormat="1" ht="15" thickBot="1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M322" s="4"/>
      <c r="CL322" s="6"/>
      <c r="CN322" s="416"/>
      <c r="CO322" s="382" t="s">
        <v>141</v>
      </c>
      <c r="CP322" s="384" t="s">
        <v>142</v>
      </c>
      <c r="CQ322" s="157"/>
      <c r="CR322" s="111"/>
      <c r="CS322" s="111"/>
      <c r="CT322" s="111"/>
      <c r="CU322" s="409">
        <f>IF(CV322=CW322,CV322,1)</f>
        <v>1</v>
      </c>
      <c r="CV322" s="342" t="str">
        <f>IF(CY320&gt;=40%,CP322,1)</f>
        <v>1,54</v>
      </c>
      <c r="CW322" s="410">
        <f>IF(CY320&lt;60%,CP322,1)</f>
        <v>1</v>
      </c>
      <c r="CX322" s="10"/>
      <c r="CY322" s="10"/>
      <c r="CZ322" s="411"/>
    </row>
    <row r="323" spans="1:104" s="5" customFormat="1" ht="15" thickBot="1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M323" s="4"/>
      <c r="CL323" s="6"/>
      <c r="CN323" s="416"/>
      <c r="CO323" s="382" t="s">
        <v>143</v>
      </c>
      <c r="CP323" s="384" t="s">
        <v>90</v>
      </c>
      <c r="CQ323" s="157"/>
      <c r="CR323" s="111"/>
      <c r="CS323" s="111"/>
      <c r="CT323" s="111"/>
      <c r="CU323" s="409">
        <f>IF(CV323=CW323,CV323,1)</f>
        <v>1</v>
      </c>
      <c r="CV323" s="342" t="str">
        <f>IF(CY320&gt;=60%,CP323,1)</f>
        <v>1,2</v>
      </c>
      <c r="CW323" s="410">
        <f>IF(CY320&lt;80%,CP323,1)</f>
        <v>1</v>
      </c>
      <c r="CX323" s="10"/>
      <c r="CY323" s="10"/>
      <c r="CZ323" s="411"/>
    </row>
    <row r="324" spans="1:104" s="5" customFormat="1" ht="15" thickBot="1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M324" s="4"/>
      <c r="CL324" s="6"/>
      <c r="CN324" s="416"/>
      <c r="CO324" s="382" t="s">
        <v>144</v>
      </c>
      <c r="CP324" s="384" t="s">
        <v>125</v>
      </c>
      <c r="CQ324" s="157"/>
      <c r="CR324" s="111"/>
      <c r="CS324" s="111"/>
      <c r="CT324" s="111"/>
      <c r="CU324" s="412">
        <f>IF(CV324=CW324,CV324,1)</f>
        <v>1</v>
      </c>
      <c r="CV324" s="342" t="str">
        <f>IF(CY320&gt;=80%,CP324,1)</f>
        <v>1</v>
      </c>
      <c r="CW324" s="410">
        <f>IF(CY320&lt;100%,CP324,1)</f>
        <v>1</v>
      </c>
      <c r="CX324" s="10"/>
      <c r="CY324" s="10"/>
      <c r="CZ324" s="411"/>
    </row>
    <row r="325" spans="1:104" s="5" customFormat="1" ht="15" thickBot="1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M325" s="4"/>
      <c r="CL325" s="6"/>
      <c r="CN325" s="416"/>
      <c r="CO325" s="157"/>
      <c r="CP325" s="157"/>
      <c r="CQ325" s="157"/>
      <c r="CR325" s="111"/>
      <c r="CS325" s="111"/>
      <c r="CT325" s="111"/>
      <c r="CU325" s="424"/>
      <c r="CV325" s="10"/>
      <c r="CW325" s="411"/>
      <c r="CX325" s="10"/>
      <c r="CY325" s="10"/>
      <c r="CZ325" s="411"/>
    </row>
    <row r="326" spans="1:104" s="5" customFormat="1" ht="15" thickBot="1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M326" s="4"/>
      <c r="CL326" s="6"/>
      <c r="CN326" s="416"/>
      <c r="CO326" s="157"/>
      <c r="CP326" s="157"/>
      <c r="CQ326" s="157"/>
      <c r="CR326" s="111"/>
      <c r="CS326" s="111"/>
      <c r="CT326" s="111"/>
      <c r="CU326" s="297">
        <f>CU320*CU321*CU322*CU323*CU324</f>
        <v>1</v>
      </c>
      <c r="CV326" s="227"/>
      <c r="CW326" s="418"/>
      <c r="CX326" s="111"/>
      <c r="CY326" s="111"/>
      <c r="CZ326" s="419"/>
    </row>
    <row r="327" spans="1:104" s="5" customFormat="1" ht="15" thickBot="1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M327" s="4"/>
      <c r="CL327" s="6"/>
      <c r="CN327" s="416"/>
      <c r="CO327" s="382" t="s">
        <v>137</v>
      </c>
      <c r="CP327" s="384" t="s">
        <v>138</v>
      </c>
      <c r="CQ327" s="157"/>
      <c r="CR327" s="111"/>
      <c r="CS327" s="111"/>
      <c r="CT327" s="111">
        <v>12</v>
      </c>
      <c r="CU327" s="403">
        <f>CV327</f>
        <v>1</v>
      </c>
      <c r="CV327" s="404">
        <f>IF(CY327&lt;20%,CP327,1)</f>
        <v>1</v>
      </c>
      <c r="CW327" s="405"/>
      <c r="CX327" s="10"/>
      <c r="CY327" s="406">
        <f>R260</f>
        <v>1</v>
      </c>
      <c r="CZ327" s="423" t="s">
        <v>162</v>
      </c>
    </row>
    <row r="328" spans="1:104" s="5" customFormat="1" ht="15" thickBot="1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M328" s="4"/>
      <c r="CL328" s="6"/>
      <c r="CN328" s="416"/>
      <c r="CO328" s="382" t="s">
        <v>139</v>
      </c>
      <c r="CP328" s="384" t="s">
        <v>140</v>
      </c>
      <c r="CQ328" s="157"/>
      <c r="CR328" s="111"/>
      <c r="CS328" s="111"/>
      <c r="CT328" s="111"/>
      <c r="CU328" s="409">
        <f>IF(CV328=CW328,CV328,1)</f>
        <v>1</v>
      </c>
      <c r="CV328" s="342" t="str">
        <f>IF(CY327&gt;=20%,CP328,1)</f>
        <v>1,81</v>
      </c>
      <c r="CW328" s="410">
        <f>IF(CY327&lt;40%,CP328,1)</f>
        <v>1</v>
      </c>
      <c r="CX328" s="10"/>
      <c r="CY328" s="10"/>
      <c r="CZ328" s="411"/>
    </row>
    <row r="329" spans="1:104" s="5" customFormat="1" ht="15" thickBot="1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M329" s="4"/>
      <c r="CL329" s="6"/>
      <c r="CN329" s="416"/>
      <c r="CO329" s="382" t="s">
        <v>141</v>
      </c>
      <c r="CP329" s="384" t="s">
        <v>142</v>
      </c>
      <c r="CQ329" s="157"/>
      <c r="CR329" s="111"/>
      <c r="CS329" s="111"/>
      <c r="CT329" s="111"/>
      <c r="CU329" s="409">
        <f>IF(CV329=CW329,CV329,1)</f>
        <v>1</v>
      </c>
      <c r="CV329" s="342" t="str">
        <f>IF(CY327&gt;=40%,CP329,1)</f>
        <v>1,54</v>
      </c>
      <c r="CW329" s="410">
        <f>IF(CY327&lt;60%,CP329,1)</f>
        <v>1</v>
      </c>
      <c r="CX329" s="10"/>
      <c r="CY329" s="10"/>
      <c r="CZ329" s="411"/>
    </row>
    <row r="330" spans="1:104" s="5" customFormat="1" ht="15" thickBot="1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M330" s="4"/>
      <c r="CL330" s="6"/>
      <c r="CN330" s="416"/>
      <c r="CO330" s="382" t="s">
        <v>143</v>
      </c>
      <c r="CP330" s="384" t="s">
        <v>90</v>
      </c>
      <c r="CQ330" s="157"/>
      <c r="CR330" s="111"/>
      <c r="CS330" s="111"/>
      <c r="CT330" s="111"/>
      <c r="CU330" s="409">
        <f>IF(CV330=CW330,CV330,1)</f>
        <v>1</v>
      </c>
      <c r="CV330" s="342" t="str">
        <f>IF(CY327&gt;=60%,CP330,1)</f>
        <v>1,2</v>
      </c>
      <c r="CW330" s="410">
        <f>IF(CY327&lt;80%,CP330,1)</f>
        <v>1</v>
      </c>
      <c r="CX330" s="10"/>
      <c r="CY330" s="10"/>
      <c r="CZ330" s="411"/>
    </row>
    <row r="331" spans="1:104" s="5" customFormat="1" ht="15" thickBot="1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M331" s="4"/>
      <c r="CL331" s="6"/>
      <c r="CN331" s="416"/>
      <c r="CO331" s="382" t="s">
        <v>144</v>
      </c>
      <c r="CP331" s="384" t="s">
        <v>125</v>
      </c>
      <c r="CQ331" s="157"/>
      <c r="CR331" s="111"/>
      <c r="CS331" s="111"/>
      <c r="CT331" s="111"/>
      <c r="CU331" s="412">
        <f>IF(CV331=CW331,CV331,1)</f>
        <v>1</v>
      </c>
      <c r="CV331" s="342" t="str">
        <f>IF(CY327&gt;=80%,CP331,1)</f>
        <v>1</v>
      </c>
      <c r="CW331" s="410">
        <f>IF(CY327&lt;100%,CP331,1)</f>
        <v>1</v>
      </c>
      <c r="CX331" s="10"/>
      <c r="CY331" s="10"/>
      <c r="CZ331" s="411"/>
    </row>
    <row r="332" spans="1:104" s="5" customFormat="1" ht="15" thickBot="1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M332" s="4"/>
      <c r="CL332" s="6"/>
      <c r="CN332" s="416"/>
      <c r="CO332" s="157"/>
      <c r="CP332" s="157"/>
      <c r="CQ332" s="157"/>
      <c r="CR332" s="111"/>
      <c r="CS332" s="111"/>
      <c r="CT332" s="111"/>
      <c r="CU332" s="424"/>
      <c r="CV332" s="10"/>
      <c r="CW332" s="411"/>
      <c r="CX332" s="10"/>
      <c r="CY332" s="10"/>
      <c r="CZ332" s="411"/>
    </row>
    <row r="333" spans="1:104" s="5" customFormat="1" ht="15" thickBot="1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M333" s="4"/>
      <c r="CL333" s="6"/>
      <c r="CN333" s="416"/>
      <c r="CO333" s="157"/>
      <c r="CP333" s="157"/>
      <c r="CQ333" s="157"/>
      <c r="CR333" s="111"/>
      <c r="CS333" s="111"/>
      <c r="CT333" s="111"/>
      <c r="CU333" s="297">
        <f>CU327*CU328*CU329*CU330*CU331</f>
        <v>1</v>
      </c>
      <c r="CV333" s="227"/>
      <c r="CW333" s="418"/>
      <c r="CX333" s="111"/>
      <c r="CY333" s="111"/>
      <c r="CZ333" s="419"/>
    </row>
    <row r="334" spans="1:104" s="5" customFormat="1" ht="15" thickBot="1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M334" s="4"/>
      <c r="CL334" s="6"/>
      <c r="CN334" s="416"/>
      <c r="CO334" s="382" t="s">
        <v>137</v>
      </c>
      <c r="CP334" s="384" t="s">
        <v>138</v>
      </c>
      <c r="CQ334" s="157"/>
      <c r="CR334" s="111"/>
      <c r="CS334" s="111"/>
      <c r="CT334" s="111">
        <v>13</v>
      </c>
      <c r="CU334" s="403">
        <f>CV334</f>
        <v>1</v>
      </c>
      <c r="CV334" s="404">
        <f>IF(CY334&lt;20%,CP334,1)</f>
        <v>1</v>
      </c>
      <c r="CW334" s="405"/>
      <c r="CX334" s="10"/>
      <c r="CY334" s="406">
        <f>R261</f>
        <v>1</v>
      </c>
      <c r="CZ334" s="423" t="s">
        <v>162</v>
      </c>
    </row>
    <row r="335" spans="1:104" s="5" customFormat="1" ht="15" thickBot="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M335" s="4"/>
      <c r="CL335" s="6"/>
      <c r="CN335" s="416"/>
      <c r="CO335" s="382" t="s">
        <v>139</v>
      </c>
      <c r="CP335" s="384" t="s">
        <v>140</v>
      </c>
      <c r="CQ335" s="157"/>
      <c r="CR335" s="111"/>
      <c r="CS335" s="111"/>
      <c r="CT335" s="111"/>
      <c r="CU335" s="409">
        <f>IF(CV335=CW335,CV335,1)</f>
        <v>1</v>
      </c>
      <c r="CV335" s="342" t="str">
        <f>IF(CY334&gt;=20%,CP335,1)</f>
        <v>1,81</v>
      </c>
      <c r="CW335" s="410">
        <f>IF(CY334&lt;40%,CP335,1)</f>
        <v>1</v>
      </c>
      <c r="CX335" s="10"/>
      <c r="CY335" s="10"/>
      <c r="CZ335" s="411"/>
    </row>
    <row r="336" spans="1:104" s="5" customFormat="1" ht="15" thickBot="1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M336" s="4"/>
      <c r="CL336" s="6"/>
      <c r="CN336" s="416"/>
      <c r="CO336" s="382" t="s">
        <v>141</v>
      </c>
      <c r="CP336" s="384" t="s">
        <v>142</v>
      </c>
      <c r="CQ336" s="157"/>
      <c r="CR336" s="111"/>
      <c r="CS336" s="111"/>
      <c r="CT336" s="111"/>
      <c r="CU336" s="409">
        <f>IF(CV336=CW336,CV336,1)</f>
        <v>1</v>
      </c>
      <c r="CV336" s="342" t="str">
        <f>IF(CY334&gt;=40%,CP336,1)</f>
        <v>1,54</v>
      </c>
      <c r="CW336" s="410">
        <f>IF(CY334&lt;60%,CP336,1)</f>
        <v>1</v>
      </c>
      <c r="CX336" s="10"/>
      <c r="CY336" s="10"/>
      <c r="CZ336" s="411"/>
    </row>
    <row r="337" spans="1:104" s="5" customFormat="1" ht="15" thickBot="1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M337" s="4"/>
      <c r="CL337" s="6"/>
      <c r="CN337" s="416"/>
      <c r="CO337" s="382" t="s">
        <v>143</v>
      </c>
      <c r="CP337" s="384" t="s">
        <v>90</v>
      </c>
      <c r="CQ337" s="157"/>
      <c r="CR337" s="111"/>
      <c r="CS337" s="111"/>
      <c r="CT337" s="111"/>
      <c r="CU337" s="409">
        <f>IF(CV337=CW337,CV337,1)</f>
        <v>1</v>
      </c>
      <c r="CV337" s="342" t="str">
        <f>IF(CY334&gt;=60%,CP337,1)</f>
        <v>1,2</v>
      </c>
      <c r="CW337" s="410">
        <f>IF(CY334&lt;80%,CP337,1)</f>
        <v>1</v>
      </c>
      <c r="CX337" s="10"/>
      <c r="CY337" s="10"/>
      <c r="CZ337" s="411"/>
    </row>
    <row r="338" spans="1:104" s="5" customFormat="1" ht="15" thickBot="1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M338" s="4"/>
      <c r="CL338" s="6"/>
      <c r="CN338" s="416"/>
      <c r="CO338" s="382" t="s">
        <v>144</v>
      </c>
      <c r="CP338" s="384" t="s">
        <v>125</v>
      </c>
      <c r="CQ338" s="157"/>
      <c r="CR338" s="111"/>
      <c r="CS338" s="111"/>
      <c r="CT338" s="111"/>
      <c r="CU338" s="412">
        <f>IF(CV338=CW338,CV338,1)</f>
        <v>1</v>
      </c>
      <c r="CV338" s="342" t="str">
        <f>IF(CY334&gt;=80%,CP338,1)</f>
        <v>1</v>
      </c>
      <c r="CW338" s="410">
        <f>IF(CY334&lt;100%,CP338,1)</f>
        <v>1</v>
      </c>
      <c r="CX338" s="10"/>
      <c r="CY338" s="10"/>
      <c r="CZ338" s="411"/>
    </row>
    <row r="339" spans="1:104" s="5" customFormat="1" ht="15" thickBot="1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M339" s="4"/>
      <c r="CL339" s="6"/>
      <c r="CN339" s="416"/>
      <c r="CO339" s="157"/>
      <c r="CP339" s="157"/>
      <c r="CQ339" s="157"/>
      <c r="CR339" s="111"/>
      <c r="CS339" s="111"/>
      <c r="CT339" s="111"/>
      <c r="CU339" s="424"/>
      <c r="CV339" s="10"/>
      <c r="CW339" s="411"/>
      <c r="CX339" s="10"/>
      <c r="CY339" s="10"/>
      <c r="CZ339" s="411"/>
    </row>
    <row r="340" spans="1:104" s="5" customFormat="1" ht="15" thickBot="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M340" s="4"/>
      <c r="CL340" s="6"/>
      <c r="CN340" s="416"/>
      <c r="CO340" s="157"/>
      <c r="CP340" s="157"/>
      <c r="CQ340" s="157"/>
      <c r="CR340" s="111"/>
      <c r="CS340" s="111"/>
      <c r="CT340" s="111"/>
      <c r="CU340" s="297">
        <f>CU334*CU335*CU336*CU337*CU338</f>
        <v>1</v>
      </c>
      <c r="CV340" s="227"/>
      <c r="CW340" s="418"/>
      <c r="CX340" s="111"/>
      <c r="CY340" s="111"/>
      <c r="CZ340" s="419"/>
    </row>
    <row r="341" spans="1:104" s="5" customFormat="1" ht="15" thickBot="1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M341" s="4"/>
      <c r="CL341" s="6"/>
      <c r="CN341" s="416"/>
      <c r="CO341" s="382" t="s">
        <v>137</v>
      </c>
      <c r="CP341" s="384" t="s">
        <v>138</v>
      </c>
      <c r="CQ341" s="157"/>
      <c r="CR341" s="111"/>
      <c r="CS341" s="111"/>
      <c r="CT341" s="111">
        <v>14</v>
      </c>
      <c r="CU341" s="403">
        <f>CV341</f>
        <v>1</v>
      </c>
      <c r="CV341" s="404">
        <f>IF(CY341&lt;20%,CP341,1)</f>
        <v>1</v>
      </c>
      <c r="CW341" s="405"/>
      <c r="CX341" s="10"/>
      <c r="CY341" s="406">
        <f>R262</f>
        <v>1</v>
      </c>
      <c r="CZ341" s="423" t="s">
        <v>162</v>
      </c>
    </row>
    <row r="342" spans="1:104" s="5" customFormat="1" ht="15" thickBot="1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M342" s="4"/>
      <c r="CL342" s="6"/>
      <c r="CN342" s="416"/>
      <c r="CO342" s="382" t="s">
        <v>139</v>
      </c>
      <c r="CP342" s="384" t="s">
        <v>140</v>
      </c>
      <c r="CQ342" s="157"/>
      <c r="CR342" s="111"/>
      <c r="CS342" s="111"/>
      <c r="CT342" s="111"/>
      <c r="CU342" s="409">
        <f>IF(CV342=CW342,CV342,1)</f>
        <v>1</v>
      </c>
      <c r="CV342" s="342" t="str">
        <f>IF(CY341&gt;=20%,CP342,1)</f>
        <v>1,81</v>
      </c>
      <c r="CW342" s="410">
        <f>IF(CY341&lt;40%,CP342,1)</f>
        <v>1</v>
      </c>
      <c r="CX342" s="10"/>
      <c r="CY342" s="10"/>
      <c r="CZ342" s="411"/>
    </row>
    <row r="343" spans="1:104" s="5" customFormat="1" ht="15" thickBot="1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M343" s="4"/>
      <c r="CL343" s="6"/>
      <c r="CN343" s="416"/>
      <c r="CO343" s="382" t="s">
        <v>141</v>
      </c>
      <c r="CP343" s="384" t="s">
        <v>142</v>
      </c>
      <c r="CQ343" s="157"/>
      <c r="CR343" s="111"/>
      <c r="CS343" s="111"/>
      <c r="CT343" s="111"/>
      <c r="CU343" s="409">
        <f>IF(CV343=CW343,CV343,1)</f>
        <v>1</v>
      </c>
      <c r="CV343" s="342" t="str">
        <f>IF(CY341&gt;=40%,CP343,1)</f>
        <v>1,54</v>
      </c>
      <c r="CW343" s="410">
        <f>IF(CY341&lt;60%,CP343,1)</f>
        <v>1</v>
      </c>
      <c r="CX343" s="10"/>
      <c r="CY343" s="10"/>
      <c r="CZ343" s="411"/>
    </row>
    <row r="344" spans="1:104" s="5" customFormat="1" ht="15" thickBot="1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M344" s="4"/>
      <c r="CL344" s="6"/>
      <c r="CN344" s="416"/>
      <c r="CO344" s="382" t="s">
        <v>143</v>
      </c>
      <c r="CP344" s="384" t="s">
        <v>90</v>
      </c>
      <c r="CQ344" s="157"/>
      <c r="CR344" s="111"/>
      <c r="CS344" s="111"/>
      <c r="CT344" s="111"/>
      <c r="CU344" s="409">
        <f>IF(CV344=CW344,CV344,1)</f>
        <v>1</v>
      </c>
      <c r="CV344" s="342" t="str">
        <f>IF(CY341&gt;=60%,CP344,1)</f>
        <v>1,2</v>
      </c>
      <c r="CW344" s="410">
        <f>IF(CY341&lt;80%,CP344,1)</f>
        <v>1</v>
      </c>
      <c r="CX344" s="10"/>
      <c r="CY344" s="10"/>
      <c r="CZ344" s="411"/>
    </row>
    <row r="345" spans="1:104" s="5" customFormat="1" ht="15" thickBot="1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M345" s="4"/>
      <c r="CL345" s="6"/>
      <c r="CN345" s="416"/>
      <c r="CO345" s="382" t="s">
        <v>144</v>
      </c>
      <c r="CP345" s="384" t="s">
        <v>125</v>
      </c>
      <c r="CQ345" s="157"/>
      <c r="CR345" s="111"/>
      <c r="CS345" s="111"/>
      <c r="CT345" s="111"/>
      <c r="CU345" s="412">
        <f>IF(CV345=CW345,CV345,1)</f>
        <v>1</v>
      </c>
      <c r="CV345" s="342" t="str">
        <f>IF(CY341&gt;=80%,CP345,1)</f>
        <v>1</v>
      </c>
      <c r="CW345" s="410">
        <f>IF(CY341&lt;100%,CP345,1)</f>
        <v>1</v>
      </c>
      <c r="CX345" s="10"/>
      <c r="CY345" s="10"/>
      <c r="CZ345" s="411"/>
    </row>
    <row r="346" spans="1:104" s="5" customFormat="1" ht="15" thickBot="1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M346" s="4"/>
      <c r="CL346" s="6"/>
      <c r="CN346" s="416"/>
      <c r="CO346" s="157"/>
      <c r="CP346" s="157"/>
      <c r="CQ346" s="157"/>
      <c r="CR346" s="111"/>
      <c r="CS346" s="111"/>
      <c r="CT346" s="111"/>
      <c r="CU346" s="424"/>
      <c r="CV346" s="10"/>
      <c r="CW346" s="411"/>
      <c r="CX346" s="10"/>
      <c r="CY346" s="10"/>
      <c r="CZ346" s="411"/>
    </row>
    <row r="347" spans="1:104" s="5" customFormat="1" ht="15" thickBot="1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M347" s="4"/>
      <c r="CL347" s="6"/>
      <c r="CN347" s="428"/>
      <c r="CO347" s="315"/>
      <c r="CP347" s="315"/>
      <c r="CQ347" s="315"/>
      <c r="CR347" s="227"/>
      <c r="CS347" s="227"/>
      <c r="CT347" s="227"/>
      <c r="CU347" s="297">
        <f>CU341*CU342*CU343*CU344*CU345</f>
        <v>1</v>
      </c>
      <c r="CV347" s="227"/>
      <c r="CW347" s="418"/>
      <c r="CX347" s="227"/>
      <c r="CY347" s="227"/>
      <c r="CZ347" s="418"/>
    </row>
    <row r="348" spans="1:99" s="5" customFormat="1" ht="14.25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M348" s="4"/>
      <c r="CL348" s="6"/>
      <c r="CN348" s="8"/>
      <c r="CO348" s="8"/>
      <c r="CP348" s="8"/>
      <c r="CQ348" s="8"/>
      <c r="CU348" s="111"/>
    </row>
    <row r="349" spans="1:99" s="5" customFormat="1" ht="14.25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M349" s="4"/>
      <c r="CL349" s="6"/>
      <c r="CN349" s="8"/>
      <c r="CO349" s="8"/>
      <c r="CP349" s="8"/>
      <c r="CQ349" s="8"/>
      <c r="CU349" s="111"/>
    </row>
    <row r="350" spans="1:99" s="5" customFormat="1" ht="14.25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M350" s="4"/>
      <c r="CL350" s="6"/>
      <c r="CN350" s="8"/>
      <c r="CO350" s="8"/>
      <c r="CP350" s="8"/>
      <c r="CQ350" s="8"/>
      <c r="CU350" s="111"/>
    </row>
    <row r="351" spans="1:99" s="5" customFormat="1" ht="14.25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M351" s="4"/>
      <c r="CL351" s="6"/>
      <c r="CN351" s="8"/>
      <c r="CO351" s="8"/>
      <c r="CP351" s="8"/>
      <c r="CQ351" s="8"/>
      <c r="CU351" s="111"/>
    </row>
    <row r="352" spans="1:99" s="5" customFormat="1" ht="14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M352" s="4"/>
      <c r="CL352" s="6"/>
      <c r="CN352" s="8"/>
      <c r="CO352" s="8"/>
      <c r="CP352" s="8"/>
      <c r="CQ352" s="8"/>
      <c r="CU352" s="111"/>
    </row>
    <row r="353" spans="1:99" s="5" customFormat="1" ht="14.25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M353" s="4"/>
      <c r="CL353" s="6"/>
      <c r="CN353" s="8"/>
      <c r="CO353" s="8"/>
      <c r="CP353" s="8"/>
      <c r="CQ353" s="8"/>
      <c r="CU353" s="111"/>
    </row>
    <row r="354" spans="1:99" s="5" customFormat="1" ht="14.25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M354" s="4"/>
      <c r="CL354" s="6"/>
      <c r="CN354" s="8"/>
      <c r="CO354" s="8"/>
      <c r="CP354" s="8"/>
      <c r="CQ354" s="8"/>
      <c r="CU354" s="111"/>
    </row>
    <row r="355" spans="1:99" s="5" customFormat="1" ht="14.25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M355" s="4"/>
      <c r="CL355" s="6"/>
      <c r="CN355" s="8"/>
      <c r="CO355" s="8"/>
      <c r="CP355" s="8"/>
      <c r="CQ355" s="8"/>
      <c r="CU355" s="111"/>
    </row>
    <row r="356" spans="1:99" s="5" customFormat="1" ht="14.25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M356" s="4"/>
      <c r="CL356" s="6"/>
      <c r="CN356" s="8"/>
      <c r="CO356" s="8"/>
      <c r="CP356" s="8"/>
      <c r="CQ356" s="8"/>
      <c r="CU356" s="111"/>
    </row>
    <row r="357" spans="1:10" ht="15" thickBo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18" ht="15" thickBo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CO358" s="429" t="s">
        <v>145</v>
      </c>
      <c r="CP358" s="430" t="s">
        <v>72</v>
      </c>
      <c r="CQ358" s="431" t="s">
        <v>125</v>
      </c>
      <c r="CR358" s="432" t="s">
        <v>146</v>
      </c>
      <c r="CS358" s="432" t="s">
        <v>147</v>
      </c>
      <c r="CT358" s="432" t="s">
        <v>148</v>
      </c>
      <c r="CU358" s="432" t="s">
        <v>149</v>
      </c>
      <c r="CV358" s="432" t="s">
        <v>150</v>
      </c>
      <c r="CW358" s="432" t="s">
        <v>151</v>
      </c>
      <c r="CX358" s="432" t="s">
        <v>152</v>
      </c>
      <c r="CY358" s="432" t="s">
        <v>153</v>
      </c>
      <c r="CZ358" s="432" t="s">
        <v>154</v>
      </c>
      <c r="DA358" s="433" t="s">
        <v>155</v>
      </c>
      <c r="DB358" s="431" t="s">
        <v>156</v>
      </c>
      <c r="DC358" s="434">
        <v>13</v>
      </c>
      <c r="DD358" s="435">
        <v>14</v>
      </c>
      <c r="DE358" s="435">
        <v>15</v>
      </c>
      <c r="DF358" s="435">
        <v>16</v>
      </c>
      <c r="DG358" s="435">
        <v>17</v>
      </c>
      <c r="DH358" s="434">
        <v>18</v>
      </c>
      <c r="DI358" s="435">
        <v>19</v>
      </c>
      <c r="DJ358" s="435">
        <v>20</v>
      </c>
      <c r="DK358" s="435">
        <v>21</v>
      </c>
      <c r="DL358" s="435">
        <v>22</v>
      </c>
      <c r="DM358" s="435">
        <v>23</v>
      </c>
      <c r="DN358" s="436">
        <v>24</v>
      </c>
    </row>
    <row r="359" spans="1:118" ht="15" thickBo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CO359" s="437" t="s">
        <v>157</v>
      </c>
      <c r="CP359" s="438">
        <v>0</v>
      </c>
      <c r="CQ359" s="439">
        <v>0.2</v>
      </c>
      <c r="CR359" s="440">
        <v>0.3</v>
      </c>
      <c r="CS359" s="440">
        <v>0.4</v>
      </c>
      <c r="CT359" s="440">
        <v>0.5</v>
      </c>
      <c r="CU359" s="440">
        <v>0.6</v>
      </c>
      <c r="CV359" s="440">
        <v>0.7</v>
      </c>
      <c r="CW359" s="440">
        <v>0.75</v>
      </c>
      <c r="CX359" s="440">
        <v>0.8</v>
      </c>
      <c r="CY359" s="440">
        <v>0.85</v>
      </c>
      <c r="CZ359" s="440">
        <v>0.9</v>
      </c>
      <c r="DA359" s="441">
        <v>0.95</v>
      </c>
      <c r="DB359" s="442">
        <v>1</v>
      </c>
      <c r="DC359" s="443">
        <f>DC358/12</f>
        <v>1.0833333333333333</v>
      </c>
      <c r="DD359" s="443">
        <f aca="true" t="shared" si="116" ref="DD359:DL359">DD358/12</f>
        <v>1.1666666666666667</v>
      </c>
      <c r="DE359" s="443">
        <f t="shared" si="116"/>
        <v>1.25</v>
      </c>
      <c r="DF359" s="443">
        <f>DF358/12</f>
        <v>1.3333333333333333</v>
      </c>
      <c r="DG359" s="443">
        <f t="shared" si="116"/>
        <v>1.4166666666666667</v>
      </c>
      <c r="DH359" s="443">
        <f t="shared" si="116"/>
        <v>1.5</v>
      </c>
      <c r="DI359" s="443">
        <f>DI358/12</f>
        <v>1.5833333333333333</v>
      </c>
      <c r="DJ359" s="443">
        <f t="shared" si="116"/>
        <v>1.6666666666666667</v>
      </c>
      <c r="DK359" s="443">
        <f t="shared" si="116"/>
        <v>1.75</v>
      </c>
      <c r="DL359" s="443">
        <f t="shared" si="116"/>
        <v>1.8333333333333333</v>
      </c>
      <c r="DM359" s="443">
        <f>DM358/12</f>
        <v>1.9166666666666667</v>
      </c>
      <c r="DN359" s="444">
        <f>DN358/12</f>
        <v>2</v>
      </c>
    </row>
    <row r="360" spans="1:118" ht="15" thickBo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CO360" s="340"/>
      <c r="CP360" s="445">
        <f aca="true" t="shared" si="117" ref="CP360:DN360">IF($D$66=CP358,CP359,0)</f>
        <v>0</v>
      </c>
      <c r="CQ360" s="446">
        <f t="shared" si="117"/>
        <v>0</v>
      </c>
      <c r="CR360" s="446">
        <f t="shared" si="117"/>
        <v>0</v>
      </c>
      <c r="CS360" s="446">
        <f t="shared" si="117"/>
        <v>0</v>
      </c>
      <c r="CT360" s="446">
        <f t="shared" si="117"/>
        <v>0</v>
      </c>
      <c r="CU360" s="446">
        <f t="shared" si="117"/>
        <v>0</v>
      </c>
      <c r="CV360" s="446">
        <f t="shared" si="117"/>
        <v>0</v>
      </c>
      <c r="CW360" s="446">
        <f t="shared" si="117"/>
        <v>0</v>
      </c>
      <c r="CX360" s="446">
        <f t="shared" si="117"/>
        <v>0</v>
      </c>
      <c r="CY360" s="446">
        <f t="shared" si="117"/>
        <v>0</v>
      </c>
      <c r="CZ360" s="446">
        <f t="shared" si="117"/>
        <v>0</v>
      </c>
      <c r="DA360" s="446">
        <f t="shared" si="117"/>
        <v>0</v>
      </c>
      <c r="DB360" s="447">
        <f t="shared" si="117"/>
        <v>1</v>
      </c>
      <c r="DC360" s="447">
        <f t="shared" si="117"/>
        <v>0</v>
      </c>
      <c r="DD360" s="447">
        <f t="shared" si="117"/>
        <v>0</v>
      </c>
      <c r="DE360" s="447">
        <f t="shared" si="117"/>
        <v>0</v>
      </c>
      <c r="DF360" s="447">
        <f t="shared" si="117"/>
        <v>0</v>
      </c>
      <c r="DG360" s="447">
        <f t="shared" si="117"/>
        <v>0</v>
      </c>
      <c r="DH360" s="447">
        <f t="shared" si="117"/>
        <v>0</v>
      </c>
      <c r="DI360" s="447">
        <f t="shared" si="117"/>
        <v>0</v>
      </c>
      <c r="DJ360" s="447">
        <f t="shared" si="117"/>
        <v>0</v>
      </c>
      <c r="DK360" s="447">
        <f t="shared" si="117"/>
        <v>0</v>
      </c>
      <c r="DL360" s="447">
        <f t="shared" si="117"/>
        <v>0</v>
      </c>
      <c r="DM360" s="447">
        <f t="shared" si="117"/>
        <v>0</v>
      </c>
      <c r="DN360" s="448">
        <f t="shared" si="117"/>
        <v>0</v>
      </c>
    </row>
    <row r="361" spans="1:106" ht="15" thickBo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CO361" s="340"/>
      <c r="CP361" s="449"/>
      <c r="CQ361" s="450"/>
      <c r="CR361" s="451">
        <f>CP360+CQ360+CR360+CS360+CT360+CU360+CV360+CW360+CX360+CY360+CZ360+DA360+DB360+DC360+DD360+DE360+DF360+DG360+DH360+DI360+DJ360+DK360+DL360+DM360+DN360</f>
        <v>1</v>
      </c>
      <c r="CS361" s="449">
        <v>6</v>
      </c>
      <c r="CT361" s="449"/>
      <c r="CU361" s="449"/>
      <c r="CV361" s="449"/>
      <c r="CW361" s="449"/>
      <c r="CX361" s="449"/>
      <c r="CY361" s="449"/>
      <c r="CZ361" s="449"/>
      <c r="DA361" s="449"/>
      <c r="DB361" s="452"/>
    </row>
    <row r="362" spans="1:105" ht="15" thickBo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CO362" s="340"/>
      <c r="CP362" s="340"/>
      <c r="CQ362" s="340"/>
      <c r="CR362" s="340"/>
      <c r="CS362" s="340"/>
      <c r="CT362" s="340"/>
      <c r="CU362" s="340"/>
      <c r="CV362" s="340"/>
      <c r="CW362" s="340"/>
      <c r="CX362" s="340"/>
      <c r="CY362" s="340"/>
      <c r="CZ362" s="340"/>
      <c r="DA362" s="340"/>
    </row>
    <row r="363" spans="1:105" ht="39" thickBo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CO363" s="429" t="s">
        <v>158</v>
      </c>
      <c r="CP363" s="453">
        <v>0</v>
      </c>
      <c r="CQ363" s="454" t="s">
        <v>125</v>
      </c>
      <c r="CR363" s="454" t="s">
        <v>146</v>
      </c>
      <c r="CS363" s="454" t="s">
        <v>147</v>
      </c>
      <c r="CT363" s="454" t="s">
        <v>148</v>
      </c>
      <c r="CU363" s="454" t="s">
        <v>149</v>
      </c>
      <c r="CV363" s="455" t="s">
        <v>159</v>
      </c>
      <c r="CW363" s="340"/>
      <c r="CX363" s="340"/>
      <c r="CY363" s="340"/>
      <c r="CZ363" s="340"/>
      <c r="DA363" s="340"/>
    </row>
    <row r="364" spans="1:105" ht="26.25" thickBo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CO364" s="437" t="s">
        <v>122</v>
      </c>
      <c r="CP364" s="456">
        <v>1</v>
      </c>
      <c r="CQ364" s="457" t="s">
        <v>127</v>
      </c>
      <c r="CR364" s="457" t="s">
        <v>129</v>
      </c>
      <c r="CS364" s="457" t="s">
        <v>160</v>
      </c>
      <c r="CT364" s="457" t="s">
        <v>110</v>
      </c>
      <c r="CU364" s="457" t="s">
        <v>104</v>
      </c>
      <c r="CV364" s="458" t="s">
        <v>114</v>
      </c>
      <c r="CW364" s="340"/>
      <c r="CX364" s="340"/>
      <c r="CY364" s="340"/>
      <c r="CZ364" s="340"/>
      <c r="DA364" s="340"/>
    </row>
    <row r="365" spans="1:105" ht="15" thickBo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CO365" s="340"/>
      <c r="CP365" s="459">
        <f aca="true" t="shared" si="118" ref="CP365:CV365">IF($D$68=CP363,CP364,0)</f>
        <v>1</v>
      </c>
      <c r="CQ365" s="460">
        <f t="shared" si="118"/>
        <v>0</v>
      </c>
      <c r="CR365" s="460">
        <f t="shared" si="118"/>
        <v>0</v>
      </c>
      <c r="CS365" s="460">
        <f t="shared" si="118"/>
        <v>0</v>
      </c>
      <c r="CT365" s="460">
        <f t="shared" si="118"/>
        <v>0</v>
      </c>
      <c r="CU365" s="460">
        <f t="shared" si="118"/>
        <v>0</v>
      </c>
      <c r="CV365" s="461">
        <f t="shared" si="118"/>
        <v>0</v>
      </c>
      <c r="CW365" s="340"/>
      <c r="CX365" s="340"/>
      <c r="CY365" s="340"/>
      <c r="CZ365" s="340"/>
      <c r="DA365" s="340"/>
    </row>
    <row r="366" spans="1:105" ht="15" thickBo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CO366" s="340"/>
      <c r="CP366" s="340"/>
      <c r="CQ366" s="340"/>
      <c r="CR366" s="451">
        <f>CP365+CQ365+CR365+CS365+CT365+CU365+CV365</f>
        <v>1</v>
      </c>
      <c r="CS366" s="359">
        <v>7</v>
      </c>
      <c r="CT366" s="340"/>
      <c r="CU366" s="340"/>
      <c r="CV366" s="340"/>
      <c r="CW366" s="340"/>
      <c r="CX366" s="340"/>
      <c r="CY366" s="340"/>
      <c r="CZ366" s="340"/>
      <c r="DA366" s="340"/>
    </row>
    <row r="367" spans="1:10" ht="14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 ht="14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 ht="14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 ht="14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 ht="14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 ht="14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 ht="14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 ht="14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 ht="14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 ht="14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 ht="14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 ht="14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 ht="14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 ht="14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 ht="14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 ht="14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 ht="14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 ht="14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 ht="14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 ht="14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 ht="14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 ht="14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 ht="14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 ht="14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 ht="14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 ht="14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 ht="14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 ht="14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 ht="14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 ht="14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 ht="14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 ht="14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 ht="14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 ht="14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 ht="14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 ht="14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 ht="14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 ht="14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 ht="14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 ht="14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 ht="14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</row>
    <row r="408" spans="1:10" ht="14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</row>
    <row r="409" spans="1:10" ht="14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</row>
    <row r="410" spans="1:10" ht="14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</row>
    <row r="411" spans="1:10" ht="14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</row>
    <row r="412" spans="1:10" ht="14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</row>
    <row r="413" spans="1:10" ht="14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</row>
    <row r="414" spans="1:10" ht="14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</row>
    <row r="415" spans="1:10" ht="14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</row>
    <row r="416" spans="1:10" ht="14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</row>
    <row r="417" spans="1:10" ht="14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</row>
    <row r="418" spans="1:10" ht="14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</row>
    <row r="419" spans="1:10" ht="14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</row>
    <row r="420" spans="1:10" ht="14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</row>
    <row r="421" spans="1:10" ht="14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10" ht="14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10" ht="14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10" ht="14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</row>
    <row r="425" spans="1:10" ht="14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</row>
    <row r="426" spans="1:10" ht="14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</row>
    <row r="427" spans="1:10" ht="14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</row>
    <row r="428" spans="1:10" ht="14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</row>
    <row r="429" spans="1:10" ht="14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</row>
    <row r="430" spans="1:10" ht="14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</row>
    <row r="431" spans="1:10" ht="14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</row>
    <row r="432" spans="1:10" ht="14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</row>
    <row r="433" spans="1:10" ht="14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</row>
    <row r="434" spans="1:10" ht="14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</row>
    <row r="435" spans="1:10" ht="14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</row>
    <row r="436" spans="1:10" ht="14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</row>
    <row r="437" spans="1:10" ht="14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</row>
    <row r="438" spans="1:10" ht="14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</row>
    <row r="439" spans="1:10" ht="14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</row>
    <row r="440" spans="1:10" ht="14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</row>
    <row r="441" spans="1:10" ht="14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</row>
    <row r="442" spans="1:10" ht="14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</row>
    <row r="443" spans="1:10" ht="14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</row>
    <row r="444" spans="1:10" ht="14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</row>
    <row r="445" spans="1:10" ht="14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</row>
    <row r="446" spans="1:10" ht="14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</row>
    <row r="447" spans="1:10" ht="14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</row>
    <row r="448" spans="1:10" ht="14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</row>
    <row r="449" spans="1:10" ht="14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</row>
    <row r="450" spans="1:10" ht="14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</row>
    <row r="451" spans="1:10" ht="14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</row>
    <row r="452" spans="1:10" ht="14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</row>
    <row r="453" spans="1:10" ht="14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</row>
    <row r="454" spans="1:10" ht="14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</row>
    <row r="455" spans="1:10" ht="14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</row>
    <row r="456" spans="1:10" ht="14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</row>
    <row r="457" spans="1:10" ht="14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</row>
    <row r="458" spans="1:10" ht="14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</row>
    <row r="459" spans="1:10" ht="14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</row>
    <row r="460" spans="1:10" ht="14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</row>
    <row r="461" spans="1:10" ht="14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</row>
    <row r="462" spans="1:10" ht="14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</row>
    <row r="463" spans="1:10" ht="14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</row>
    <row r="464" spans="1:10" ht="14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</row>
    <row r="465" spans="1:10" ht="14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</row>
    <row r="466" spans="1:10" ht="14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</row>
    <row r="467" spans="1:10" ht="14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</row>
    <row r="468" spans="1:10" ht="14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</row>
    <row r="469" spans="1:10" ht="14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</row>
    <row r="470" spans="1:10" ht="14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</row>
    <row r="471" spans="1:10" ht="14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</row>
    <row r="472" spans="1:10" ht="14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</row>
    <row r="473" spans="1:10" ht="14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</row>
    <row r="474" spans="1:10" ht="14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</row>
    <row r="475" spans="1:10" ht="14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</row>
    <row r="476" spans="1:10" ht="14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</row>
    <row r="477" spans="1:10" ht="14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</row>
    <row r="478" spans="1:10" ht="14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</row>
    <row r="479" spans="1:10" ht="14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</row>
    <row r="480" spans="1:10" ht="14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</row>
    <row r="481" spans="1:10" ht="14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</row>
    <row r="482" spans="1:10" ht="14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</row>
    <row r="483" spans="1:10" ht="14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</row>
    <row r="484" spans="1:10" ht="14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</row>
    <row r="485" spans="1:10" ht="14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</row>
    <row r="486" spans="1:10" ht="14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</row>
    <row r="487" spans="1:10" ht="14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</row>
    <row r="488" spans="1:10" ht="14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</row>
    <row r="489" spans="1:10" ht="14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</row>
    <row r="490" spans="1:10" ht="14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</row>
    <row r="491" spans="1:10" ht="14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</row>
    <row r="492" spans="1:10" ht="14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</row>
    <row r="493" spans="1:10" ht="14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</row>
    <row r="494" spans="1:10" ht="14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</row>
    <row r="495" spans="1:10" ht="14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</row>
    <row r="496" spans="1:10" ht="14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</row>
    <row r="497" spans="1:10" ht="14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</row>
    <row r="498" spans="1:10" ht="14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</row>
    <row r="499" spans="1:10" ht="14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</row>
    <row r="500" spans="1:10" ht="14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</row>
    <row r="501" spans="1:10" ht="14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</row>
    <row r="502" spans="1:10" ht="14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</row>
    <row r="503" spans="1:10" ht="14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</row>
    <row r="504" spans="1:10" ht="14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</row>
    <row r="505" spans="1:10" ht="14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</row>
    <row r="506" spans="1:10" ht="14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</row>
    <row r="507" spans="1:10" ht="14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</row>
    <row r="508" spans="1:10" ht="14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</row>
    <row r="509" spans="1:10" ht="14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</row>
    <row r="510" spans="1:10" ht="14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</row>
    <row r="511" spans="1:10" ht="14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</row>
    <row r="512" spans="1:10" ht="14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</row>
    <row r="513" spans="1:10" ht="14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</row>
    <row r="514" spans="1:10" ht="14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</row>
    <row r="515" spans="1:10" ht="14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</row>
    <row r="516" spans="1:10" ht="14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</row>
    <row r="517" spans="1:10" ht="14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</row>
    <row r="518" spans="1:10" ht="14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</row>
    <row r="519" spans="1:10" ht="14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</row>
    <row r="520" spans="1:10" ht="14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</row>
    <row r="521" spans="1:10" ht="14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</row>
    <row r="522" spans="1:10" ht="14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</row>
    <row r="523" spans="1:10" ht="14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</row>
    <row r="524" spans="1:10" ht="14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</row>
    <row r="525" spans="1:10" ht="14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</row>
    <row r="526" spans="1:10" ht="14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</row>
    <row r="527" spans="1:10" ht="14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</row>
    <row r="528" spans="1:10" ht="14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</row>
    <row r="529" spans="1:10" ht="14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</row>
    <row r="530" spans="1:10" ht="14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</row>
    <row r="531" spans="1:10" ht="14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</row>
    <row r="532" spans="1:10" ht="14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</row>
    <row r="533" spans="1:10" ht="14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</row>
    <row r="534" spans="1:10" ht="14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</row>
    <row r="535" spans="1:10" ht="14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</row>
    <row r="536" spans="1:10" ht="14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</row>
    <row r="537" spans="1:10" ht="14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</row>
    <row r="538" spans="1:10" ht="14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</row>
    <row r="539" spans="1:10" ht="14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</row>
    <row r="540" spans="1:10" ht="14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</row>
    <row r="541" spans="1:10" ht="14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</row>
    <row r="542" spans="1:10" ht="14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</row>
    <row r="543" spans="1:10" ht="14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</row>
    <row r="544" spans="1:10" ht="14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</row>
    <row r="545" spans="1:10" ht="14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</row>
    <row r="546" spans="1:10" ht="14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</row>
    <row r="547" spans="1:10" ht="14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</row>
    <row r="548" spans="1:10" ht="14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</row>
    <row r="549" spans="1:10" ht="14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</row>
    <row r="550" spans="1:10" ht="14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</row>
    <row r="551" spans="1:10" ht="14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</row>
    <row r="552" spans="1:10" ht="14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</row>
    <row r="553" spans="1:10" ht="14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</row>
    <row r="554" spans="1:10" ht="14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</row>
    <row r="555" spans="1:10" ht="14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</row>
    <row r="556" spans="1:10" ht="14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</row>
    <row r="557" spans="1:10" ht="14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</row>
    <row r="558" spans="1:10" ht="14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</row>
    <row r="559" spans="1:10" ht="14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</row>
    <row r="560" spans="1:10" ht="14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</row>
    <row r="561" spans="1:10" ht="14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</row>
    <row r="562" spans="1:10" ht="14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</row>
    <row r="563" spans="1:10" ht="14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</row>
    <row r="564" spans="1:10" ht="14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</row>
    <row r="565" spans="1:10" ht="14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</row>
    <row r="566" spans="1:10" ht="14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</row>
    <row r="567" spans="1:10" ht="14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</row>
    <row r="568" spans="1:10" ht="14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</row>
    <row r="569" spans="1:10" ht="14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</row>
    <row r="570" spans="1:10" ht="14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</row>
    <row r="571" spans="1:10" ht="14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</row>
    <row r="572" spans="1:10" ht="14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</row>
    <row r="573" spans="1:10" ht="14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</row>
    <row r="574" spans="1:10" ht="14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</row>
    <row r="575" spans="1:10" ht="14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</row>
    <row r="576" spans="1:10" ht="14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</row>
    <row r="577" spans="1:10" ht="14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</row>
    <row r="578" spans="1:10" ht="14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</row>
    <row r="579" spans="1:10" ht="14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</row>
    <row r="580" spans="1:10" ht="14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</row>
    <row r="581" spans="1:10" ht="14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</row>
    <row r="582" spans="1:10" ht="14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</row>
    <row r="583" spans="1:10" ht="14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</row>
    <row r="584" spans="1:10" ht="14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</row>
    <row r="585" spans="1:10" ht="14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</row>
    <row r="586" spans="1:10" ht="14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</row>
    <row r="587" spans="1:10" ht="14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</row>
    <row r="588" spans="1:10" ht="14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</row>
    <row r="589" spans="1:10" ht="14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</row>
    <row r="590" spans="1:10" ht="14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</row>
    <row r="591" spans="1:10" ht="14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</row>
    <row r="592" spans="1:10" ht="14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</row>
    <row r="593" spans="1:10" ht="14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</row>
    <row r="594" spans="1:10" ht="14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</row>
    <row r="595" spans="1:10" ht="14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</row>
    <row r="596" spans="1:10" ht="14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</row>
    <row r="597" spans="1:10" ht="14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</row>
    <row r="598" spans="1:10" ht="14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</row>
    <row r="599" spans="1:10" ht="14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</row>
    <row r="600" spans="1:10" ht="14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</row>
    <row r="601" spans="1:10" ht="14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</row>
    <row r="602" spans="1:10" ht="14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</row>
    <row r="603" spans="1:10" ht="14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</row>
    <row r="604" spans="1:10" ht="14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</row>
    <row r="605" spans="1:10" ht="14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</row>
    <row r="606" spans="1:10" ht="14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</row>
    <row r="607" spans="1:10" ht="14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</row>
    <row r="608" spans="1:10" ht="14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</row>
    <row r="609" spans="1:10" ht="14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</row>
    <row r="610" spans="1:10" ht="14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</row>
    <row r="611" spans="1:10" ht="14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</row>
    <row r="612" spans="1:10" ht="14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</row>
    <row r="613" spans="1:10" ht="14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</row>
    <row r="614" spans="1:10" ht="14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</row>
    <row r="615" spans="1:10" ht="14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</row>
    <row r="616" spans="1:10" ht="14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</row>
    <row r="617" spans="1:10" ht="14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</row>
    <row r="618" spans="1:10" ht="14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</row>
    <row r="619" spans="1:10" ht="14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</row>
    <row r="620" spans="1:10" ht="14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</row>
    <row r="621" spans="1:10" ht="14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</row>
    <row r="622" spans="1:10" ht="14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</row>
    <row r="623" spans="1:10" ht="14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</row>
  </sheetData>
  <sheetProtection password="CC37" sheet="1" objects="1" scenarios="1" formatRows="0" selectLockedCells="1"/>
  <mergeCells count="181">
    <mergeCell ref="B4:G4"/>
    <mergeCell ref="B52:G52"/>
    <mergeCell ref="C6:E6"/>
    <mergeCell ref="C12:E12"/>
    <mergeCell ref="C26:D26"/>
    <mergeCell ref="C25:D25"/>
    <mergeCell ref="C19:E19"/>
    <mergeCell ref="C38:D38"/>
    <mergeCell ref="C8:E8"/>
    <mergeCell ref="C7:E7"/>
    <mergeCell ref="B12:B16"/>
    <mergeCell ref="C17:E17"/>
    <mergeCell ref="C16:E16"/>
    <mergeCell ref="C15:E15"/>
    <mergeCell ref="C14:E14"/>
    <mergeCell ref="C13:E13"/>
    <mergeCell ref="B17:B19"/>
    <mergeCell ref="CN138:CN143"/>
    <mergeCell ref="CN149:CN151"/>
    <mergeCell ref="CN144:CN148"/>
    <mergeCell ref="Q255:Q259"/>
    <mergeCell ref="T257:U257"/>
    <mergeCell ref="T258:U258"/>
    <mergeCell ref="T259:U259"/>
    <mergeCell ref="T255:U255"/>
    <mergeCell ref="T256:U256"/>
    <mergeCell ref="T253:U253"/>
    <mergeCell ref="CY157:DB157"/>
    <mergeCell ref="CR156:DB156"/>
    <mergeCell ref="CN155:CO158"/>
    <mergeCell ref="CR155:DS155"/>
    <mergeCell ref="DD156:DG156"/>
    <mergeCell ref="DI157:DN157"/>
    <mergeCell ref="DI156:DS156"/>
    <mergeCell ref="CR157:CU157"/>
    <mergeCell ref="CV157:CX157"/>
    <mergeCell ref="Q260:Q262"/>
    <mergeCell ref="T249:U249"/>
    <mergeCell ref="T250:U250"/>
    <mergeCell ref="T251:U251"/>
    <mergeCell ref="T252:U252"/>
    <mergeCell ref="T261:U261"/>
    <mergeCell ref="T262:U262"/>
    <mergeCell ref="T254:U254"/>
    <mergeCell ref="T260:U260"/>
    <mergeCell ref="Q249:Q254"/>
    <mergeCell ref="CV135:CX135"/>
    <mergeCell ref="CN178:CO181"/>
    <mergeCell ref="CR178:DS178"/>
    <mergeCell ref="DO135:DR135"/>
    <mergeCell ref="CY135:DB135"/>
    <mergeCell ref="DI135:DN135"/>
    <mergeCell ref="DO157:DR157"/>
    <mergeCell ref="CR180:CU180"/>
    <mergeCell ref="CR135:CU135"/>
    <mergeCell ref="CN153:DS153"/>
    <mergeCell ref="CP220:CV220"/>
    <mergeCell ref="CO220:CO221"/>
    <mergeCell ref="CP237:CP238"/>
    <mergeCell ref="CR179:DB179"/>
    <mergeCell ref="CN176:DS176"/>
    <mergeCell ref="CN189:CN193"/>
    <mergeCell ref="CN194:CN196"/>
    <mergeCell ref="CN183:CN188"/>
    <mergeCell ref="DI179:DS179"/>
    <mergeCell ref="CY180:DB180"/>
    <mergeCell ref="DD179:DG179"/>
    <mergeCell ref="CV180:CX180"/>
    <mergeCell ref="DO180:DR180"/>
    <mergeCell ref="Q194:Q196"/>
    <mergeCell ref="DI180:DN180"/>
    <mergeCell ref="Q160:Q165"/>
    <mergeCell ref="Q166:Q170"/>
    <mergeCell ref="CN171:CN173"/>
    <mergeCell ref="Q171:Q173"/>
    <mergeCell ref="Q183:Q188"/>
    <mergeCell ref="CN166:CN170"/>
    <mergeCell ref="Q189:Q193"/>
    <mergeCell ref="CN160:CN165"/>
    <mergeCell ref="B78:B82"/>
    <mergeCell ref="D67:E67"/>
    <mergeCell ref="D66:E66"/>
    <mergeCell ref="B68:C68"/>
    <mergeCell ref="B67:C67"/>
    <mergeCell ref="B66:C66"/>
    <mergeCell ref="C74:E74"/>
    <mergeCell ref="B21:G21"/>
    <mergeCell ref="B58:G58"/>
    <mergeCell ref="B22:B33"/>
    <mergeCell ref="B34:B38"/>
    <mergeCell ref="C50:D50"/>
    <mergeCell ref="C49:D49"/>
    <mergeCell ref="B56:D56"/>
    <mergeCell ref="Q144:Q148"/>
    <mergeCell ref="Q149:Q151"/>
    <mergeCell ref="D68:E68"/>
    <mergeCell ref="C46:D46"/>
    <mergeCell ref="C48:D48"/>
    <mergeCell ref="C47:D47"/>
    <mergeCell ref="C76:E76"/>
    <mergeCell ref="C77:E77"/>
    <mergeCell ref="C79:E79"/>
    <mergeCell ref="AC58:AE58"/>
    <mergeCell ref="Y71:AA71"/>
    <mergeCell ref="C44:D44"/>
    <mergeCell ref="C43:D43"/>
    <mergeCell ref="C45:D45"/>
    <mergeCell ref="Q138:Q143"/>
    <mergeCell ref="W58:Z58"/>
    <mergeCell ref="X60:Z60"/>
    <mergeCell ref="X59:Z59"/>
    <mergeCell ref="Q12:Q16"/>
    <mergeCell ref="Q17:Q19"/>
    <mergeCell ref="O60:Q60"/>
    <mergeCell ref="O59:Q59"/>
    <mergeCell ref="R34:W34"/>
    <mergeCell ref="X64:Z64"/>
    <mergeCell ref="O61:Q61"/>
    <mergeCell ref="Y72:AA72"/>
    <mergeCell ref="AC61:AE61"/>
    <mergeCell ref="W62:Z62"/>
    <mergeCell ref="X63:Z63"/>
    <mergeCell ref="C18:E18"/>
    <mergeCell ref="B63:D63"/>
    <mergeCell ref="Q6:Q11"/>
    <mergeCell ref="CN131:DS131"/>
    <mergeCell ref="DI134:DS134"/>
    <mergeCell ref="DD134:DG134"/>
    <mergeCell ref="AC59:AE59"/>
    <mergeCell ref="AC60:AE60"/>
    <mergeCell ref="CR133:DS133"/>
    <mergeCell ref="CR134:DB134"/>
    <mergeCell ref="B53:D53"/>
    <mergeCell ref="C41:D41"/>
    <mergeCell ref="B83:B85"/>
    <mergeCell ref="B5:E5"/>
    <mergeCell ref="B6:B11"/>
    <mergeCell ref="C11:E11"/>
    <mergeCell ref="C10:E10"/>
    <mergeCell ref="C9:E9"/>
    <mergeCell ref="B71:E71"/>
    <mergeCell ref="B72:B77"/>
    <mergeCell ref="C34:D34"/>
    <mergeCell ref="C24:D24"/>
    <mergeCell ref="B60:C60"/>
    <mergeCell ref="D60:E60"/>
    <mergeCell ref="B65:G65"/>
    <mergeCell ref="B39:B50"/>
    <mergeCell ref="B62:D62"/>
    <mergeCell ref="C42:D42"/>
    <mergeCell ref="B55:D55"/>
    <mergeCell ref="B54:D54"/>
    <mergeCell ref="C29:D29"/>
    <mergeCell ref="C28:D28"/>
    <mergeCell ref="C27:D27"/>
    <mergeCell ref="C40:D40"/>
    <mergeCell ref="C39:D39"/>
    <mergeCell ref="C23:D23"/>
    <mergeCell ref="C37:D37"/>
    <mergeCell ref="C36:D36"/>
    <mergeCell ref="C32:D32"/>
    <mergeCell ref="C35:D35"/>
    <mergeCell ref="B89:I89"/>
    <mergeCell ref="C73:E73"/>
    <mergeCell ref="C72:E72"/>
    <mergeCell ref="B59:D59"/>
    <mergeCell ref="B61:E61"/>
    <mergeCell ref="C85:E85"/>
    <mergeCell ref="C84:E84"/>
    <mergeCell ref="C83:E83"/>
    <mergeCell ref="C75:E75"/>
    <mergeCell ref="C78:E78"/>
    <mergeCell ref="D86:E86"/>
    <mergeCell ref="C82:E82"/>
    <mergeCell ref="C81:E81"/>
    <mergeCell ref="C80:E80"/>
    <mergeCell ref="B2:G2"/>
    <mergeCell ref="C22:D22"/>
    <mergeCell ref="C33:D33"/>
    <mergeCell ref="C31:D31"/>
    <mergeCell ref="C30:D30"/>
  </mergeCells>
  <conditionalFormatting sqref="I72:I85">
    <cfRule type="cellIs" priority="1" dxfId="4" operator="equal" stopIfTrue="1">
      <formula>0</formula>
    </cfRule>
    <cfRule type="expression" priority="2" dxfId="4" stopIfTrue="1">
      <formula>$P$83="Андеррайтер"</formula>
    </cfRule>
  </conditionalFormatting>
  <conditionalFormatting sqref="I86:I87">
    <cfRule type="cellIs" priority="3" dxfId="4" operator="equal" stopIfTrue="1">
      <formula>0</formula>
    </cfRule>
    <cfRule type="expression" priority="4" dxfId="5" stopIfTrue="1">
      <formula>$P$83="Андеррайтер"</formula>
    </cfRule>
  </conditionalFormatting>
  <dataValidations count="5">
    <dataValidation type="list" allowBlank="1" showInputMessage="1" showErrorMessage="1" sqref="D67:E67">
      <formula1>$CO$222:$CO$232</formula1>
    </dataValidation>
    <dataValidation type="list" allowBlank="1" showInputMessage="1" showErrorMessage="1" sqref="D68:E68">
      <formula1>$CP$363:$CV$363</formula1>
    </dataValidation>
    <dataValidation type="list" allowBlank="1" showInputMessage="1" showErrorMessage="1" sqref="D66:E66">
      <formula1>$CP$358:$DN$358</formula1>
    </dataValidation>
    <dataValidation type="list" allowBlank="1" showInputMessage="1" showErrorMessage="1" sqref="E59 E62:E63 E22:E50 E53:E56">
      <formula1>$CQ$51</formula1>
    </dataValidation>
    <dataValidation type="list" allowBlank="1" showInputMessage="1" showErrorMessage="1" sqref="D60:E60">
      <formula1>$DB$207:$DB$211</formula1>
    </dataValidation>
  </dataValidations>
  <printOptions/>
  <pageMargins left="0.3937007874015748" right="0.35433070866141736" top="0.5511811023622047" bottom="0.5511811023622047" header="0.31496062992125984" footer="0.31496062992125984"/>
  <pageSetup fitToHeight="3" horizontalDpi="600" verticalDpi="600" orientation="landscape" paperSize="9" scale="50" r:id="rId1"/>
  <headerFooter alignWithMargins="0">
    <oddHeader xml:space="preserve">&amp;RПриложение 2 к Методическому руководству по продукту "Страхование имущества юридических лиц от огня и других опасностей" от 06.12.2011 г.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LebedevDS</cp:lastModifiedBy>
  <cp:lastPrinted>2011-12-28T07:55:35Z</cp:lastPrinted>
  <dcterms:created xsi:type="dcterms:W3CDTF">2011-12-03T16:41:51Z</dcterms:created>
  <dcterms:modified xsi:type="dcterms:W3CDTF">2012-05-21T08:46:30Z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